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bluetoothsig.sharepoint.com/sites/SpecificationDocumentManagement/Shared Documents/Test Documents/Maintenance/Atlanta/IE Sheets/"/>
    </mc:Choice>
  </mc:AlternateContent>
  <xr:revisionPtr revIDLastSave="3" documentId="8_{7814E6CC-23AE-4D77-8301-DF5543B14581}" xr6:coauthVersionLast="47" xr6:coauthVersionMax="47" xr10:uidLastSave="{D5E75E6C-8B7A-4DAF-BBFF-3517CEEA617F}"/>
  <bookViews>
    <workbookView xWindow="13830" yWindow="3405" windowWidth="25200" windowHeight="16110" xr2:uid="{00000000-000D-0000-FFFF-FFFF00000000}"/>
  </bookViews>
  <sheets>
    <sheet name="Revisions" sheetId="5" r:id="rId1"/>
    <sheet name="BAS Spec Errata" sheetId="52" r:id="rId2"/>
    <sheet name="BCS Spec Errata" sheetId="53" r:id="rId3"/>
    <sheet name="BLP Spec Errata" sheetId="7" r:id="rId4"/>
    <sheet name="BLS Spec Errata" sheetId="32" r:id="rId5"/>
    <sheet name="BMS Spec Errata" sheetId="43" r:id="rId6"/>
    <sheet name="CGMP Spec Errata" sheetId="33" r:id="rId7"/>
    <sheet name="CGMS Spec Errata" sheetId="34" r:id="rId8"/>
    <sheet name="CPP Spec Errata" sheetId="35" r:id="rId9"/>
    <sheet name="CPS Spec Errata" sheetId="36" r:id="rId10"/>
    <sheet name="CSCP Spec Errata" sheetId="54" r:id="rId11"/>
    <sheet name="CSCS Spec Errata" sheetId="55" r:id="rId12"/>
    <sheet name="CTS Spec Errata" sheetId="37" r:id="rId13"/>
    <sheet name="DIS Spec Errata" sheetId="38" r:id="rId14"/>
    <sheet name="GLP Spec Errata" sheetId="44" r:id="rId15"/>
    <sheet name="GLS Spec Errata" sheetId="45" r:id="rId16"/>
    <sheet name="IDP Spec Errata" sheetId="46" r:id="rId17"/>
    <sheet name="IDS Spec Errata" sheetId="47" r:id="rId18"/>
    <sheet name="LLS Spec Errata" sheetId="39" r:id="rId19"/>
    <sheet name="PLXP Spec Errata" sheetId="48" r:id="rId20"/>
    <sheet name="PLXS Spec Errata" sheetId="49" r:id="rId21"/>
    <sheet name="PXP Spec Errata" sheetId="40" r:id="rId22"/>
    <sheet name="RCP Spec Errata" sheetId="50" r:id="rId23"/>
    <sheet name="RCS Spec Errata" sheetId="51" r:id="rId24"/>
    <sheet name="TDS Spec Errata" sheetId="41" r:id="rId25"/>
    <sheet name="UDS Spec Errata" sheetId="42" r:id="rId2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42" l="1"/>
  <c r="A15" i="42"/>
  <c r="A14" i="42"/>
  <c r="A13" i="42"/>
  <c r="A12" i="42"/>
  <c r="A11" i="42"/>
  <c r="G11" i="55"/>
  <c r="G10" i="55"/>
  <c r="A14" i="55"/>
  <c r="A13" i="55"/>
  <c r="A12" i="55"/>
  <c r="A11" i="55"/>
  <c r="A10" i="55"/>
  <c r="G11" i="54"/>
  <c r="G10" i="54"/>
  <c r="A15" i="54"/>
  <c r="A14" i="54"/>
  <c r="A13" i="54"/>
  <c r="A12" i="54"/>
  <c r="A11" i="54"/>
  <c r="A10" i="54"/>
  <c r="A17" i="36"/>
  <c r="A16" i="36"/>
  <c r="A15" i="36"/>
  <c r="A14" i="36"/>
  <c r="G13" i="36"/>
  <c r="A13" i="36"/>
  <c r="G12" i="36"/>
  <c r="A12" i="36"/>
  <c r="A15" i="35" l="1"/>
  <c r="A14" i="35"/>
  <c r="A13" i="35"/>
  <c r="G12" i="35"/>
  <c r="A12" i="35"/>
  <c r="G11" i="35"/>
  <c r="A11" i="35"/>
  <c r="A14" i="53"/>
  <c r="A15" i="53"/>
  <c r="A13" i="53"/>
  <c r="A12" i="53"/>
  <c r="G11" i="53"/>
  <c r="A11" i="53"/>
  <c r="G10" i="53"/>
  <c r="A10" i="53"/>
  <c r="A22" i="38" l="1"/>
  <c r="A21" i="38"/>
  <c r="A20" i="38"/>
  <c r="A19" i="38"/>
  <c r="A18" i="38"/>
  <c r="A17" i="38"/>
  <c r="A16" i="38"/>
  <c r="A14" i="38"/>
  <c r="G13" i="38"/>
  <c r="A13" i="38"/>
  <c r="A15" i="38"/>
  <c r="A12" i="38"/>
  <c r="A11" i="38"/>
  <c r="A10" i="52" l="1"/>
  <c r="A10" i="41"/>
  <c r="A12" i="51"/>
  <c r="A10" i="51"/>
  <c r="A10" i="50"/>
  <c r="A10" i="40"/>
  <c r="A12" i="49"/>
  <c r="A10" i="49"/>
  <c r="A12" i="48"/>
  <c r="A10" i="48"/>
  <c r="A10" i="39"/>
  <c r="A12" i="47"/>
  <c r="A10" i="47"/>
  <c r="A12" i="46"/>
  <c r="A10" i="46"/>
  <c r="A10" i="45"/>
  <c r="A12" i="44"/>
  <c r="A10" i="44"/>
  <c r="A10" i="37"/>
  <c r="A11" i="36"/>
  <c r="A15" i="34"/>
  <c r="A14" i="34"/>
  <c r="A13" i="34"/>
  <c r="A12" i="34"/>
  <c r="A11" i="34"/>
  <c r="A13" i="33"/>
  <c r="A11" i="33"/>
  <c r="A13" i="51"/>
  <c r="A11" i="51"/>
  <c r="A11" i="50"/>
  <c r="A13" i="49"/>
  <c r="A11" i="49"/>
  <c r="A13" i="48"/>
  <c r="A11" i="48"/>
  <c r="A11" i="47"/>
  <c r="A11" i="46"/>
  <c r="A11" i="45"/>
  <c r="A11" i="44"/>
  <c r="A14" i="33"/>
  <c r="A12" i="33"/>
  <c r="G13" i="51"/>
  <c r="G11" i="51"/>
  <c r="G11" i="50"/>
  <c r="G11" i="48"/>
  <c r="G11" i="46"/>
  <c r="G12" i="33"/>
  <c r="G11" i="43"/>
  <c r="G13" i="7"/>
  <c r="A11" i="43"/>
  <c r="A12" i="43"/>
  <c r="A10" i="43"/>
  <c r="A11" i="32"/>
  <c r="A15" i="7"/>
  <c r="A13" i="7"/>
  <c r="G12" i="51"/>
  <c r="G10" i="50"/>
  <c r="G10" i="49"/>
  <c r="G10" i="48"/>
  <c r="G10" i="47"/>
  <c r="G10" i="45"/>
  <c r="G10" i="44"/>
  <c r="G15" i="34"/>
  <c r="G13" i="34"/>
  <c r="G13" i="33"/>
  <c r="G10" i="43"/>
  <c r="G11" i="32"/>
  <c r="A14" i="7"/>
  <c r="A12" i="7"/>
</calcChain>
</file>

<file path=xl/sharedStrings.xml><?xml version="1.0" encoding="utf-8"?>
<sst xmlns="http://schemas.openxmlformats.org/spreadsheetml/2006/main" count="1068" uniqueCount="230">
  <si>
    <t>Integrated Errata - External to the Core (GATTBased)</t>
  </si>
  <si>
    <t>Test Impact</t>
  </si>
  <si>
    <r>
      <t xml:space="preserve">This Document is an informative supplement to the TCRL </t>
    </r>
    <r>
      <rPr>
        <sz val="10"/>
        <color rgb="FFFF0000"/>
        <rFont val="Arial"/>
        <family val="2"/>
      </rPr>
      <t>Package</t>
    </r>
    <r>
      <rPr>
        <sz val="10"/>
        <color theme="1"/>
        <rFont val="Arial"/>
        <family val="2"/>
      </rPr>
      <t xml:space="preserve"> and Test Documents to help track integrated errata into specifications in maintenance and enhancements.</t>
    </r>
  </si>
  <si>
    <t>Tab Color Legend</t>
  </si>
  <si>
    <t>Sheet updated due to newly integrated errata or a change in test impact or to the states of the associated test impact TSEs.</t>
  </si>
  <si>
    <t>Updates made only to the D&amp;W states of the specifications, but there are no changes to integrated errata and test impact compared to the previous publication.</t>
  </si>
  <si>
    <t>Red text is used throughout to designate all updates made since the previous publication.</t>
  </si>
  <si>
    <t xml:space="preserve">Release date: </t>
  </si>
  <si>
    <t>Revision History</t>
  </si>
  <si>
    <t>Version</t>
  </si>
  <si>
    <t>Date</t>
  </si>
  <si>
    <t>Changes</t>
  </si>
  <si>
    <t>p0</t>
  </si>
  <si>
    <t>Updated as of the TCRL 2021-1 release. Prepared for TCRL 2021-1 publication.</t>
  </si>
  <si>
    <t>p1</t>
  </si>
  <si>
    <t>Updated as of the TCRL 2021-2 release including the medical devices working group .Z updates for BLP, BLS, BMS, CGMP, CGMS, GLP, GLS, IDP, IDS, PLXP, PLXS, RCP, and RCS. Prepared for TCRL 2021-2 publication.</t>
  </si>
  <si>
    <t>p2</t>
  </si>
  <si>
    <t>Updated as of the TCRL 2022-1 release. Includes released TSE info for RCS associated with the previous .Z adoption. Prepared for TCRL 2022-1 publication.</t>
  </si>
  <si>
    <t>p3</t>
  </si>
  <si>
    <t>Updated as of the TCRL 2022-2 release. Includes updates from BAS 1.1 adoption. Updated errata links to JIRA links. Updated specification states throughout. Prepared for TCRL 2022-2 publication.</t>
  </si>
  <si>
    <t>p4</t>
  </si>
  <si>
    <t>Updated as of the TCRL 2023-1 release. Includes updates from DIS 1.2. Prepared for TCRL 2023-1 publication.</t>
  </si>
  <si>
    <t>p5</t>
  </si>
  <si>
    <t>Battery Service  (BAS)</t>
  </si>
  <si>
    <r>
      <rPr>
        <b/>
        <sz val="10"/>
        <color rgb="FF000000"/>
        <rFont val="Arial"/>
        <family val="2"/>
      </rPr>
      <t xml:space="preserve">This sheet summarizes Specification Errata and the corresponding known Test Impact at the time of adoption </t>
    </r>
    <r>
      <rPr>
        <b/>
        <sz val="10"/>
        <color rgb="FFFF0000"/>
        <rFont val="Arial"/>
        <family val="2"/>
      </rPr>
      <t>of an X.Y specification enhancement or a specification maintenance .Z</t>
    </r>
    <r>
      <rPr>
        <b/>
        <sz val="10"/>
        <color rgb="FF000000"/>
        <rFont val="Arial"/>
        <family val="2"/>
      </rPr>
      <t xml:space="preserve">. </t>
    </r>
    <r>
      <rPr>
        <b/>
        <sz val="10"/>
        <color rgb="FFFF0000"/>
        <rFont val="Arial"/>
        <family val="2"/>
      </rPr>
      <t>This sheet is</t>
    </r>
    <r>
      <rPr>
        <b/>
        <sz val="10"/>
        <color rgb="FF000000"/>
        <rFont val="Arial"/>
        <family val="2"/>
      </rPr>
      <t xml:space="preserve"> provided for informative purposes only. </t>
    </r>
    <r>
      <rPr>
        <sz val="10"/>
        <color rgb="FF000000"/>
        <rFont val="Arial"/>
        <family val="2"/>
      </rPr>
      <t xml:space="preserve">
TSEs that are open at </t>
    </r>
    <r>
      <rPr>
        <sz val="10"/>
        <color rgb="FFFF0000"/>
        <rFont val="Arial"/>
        <family val="2"/>
      </rPr>
      <t>the</t>
    </r>
    <r>
      <rPr>
        <sz val="10"/>
        <color rgb="FF000000"/>
        <rFont val="Arial"/>
        <family val="2"/>
      </rPr>
      <t xml:space="preserve"> time </t>
    </r>
    <r>
      <rPr>
        <sz val="10"/>
        <color rgb="FFFF0000"/>
        <rFont val="Arial"/>
        <family val="2"/>
      </rPr>
      <t>of specification adoption</t>
    </r>
    <r>
      <rPr>
        <sz val="10"/>
        <color rgb="FF000000"/>
        <rFont val="Arial"/>
        <family val="2"/>
      </rPr>
      <t xml:space="preserve"> can eventually become part of updated qualification requirements in future </t>
    </r>
    <r>
      <rPr>
        <sz val="10"/>
        <color rgb="FFFF0000"/>
        <rFont val="Arial"/>
        <family val="2"/>
      </rPr>
      <t>maintenance releases of a</t>
    </r>
    <r>
      <rPr>
        <sz val="10"/>
        <color rgb="FF000000"/>
        <rFont val="Arial"/>
        <family val="2"/>
      </rPr>
      <t xml:space="preserve"> </t>
    </r>
    <r>
      <rPr>
        <sz val="10"/>
        <color rgb="FFFF0000"/>
        <rFont val="Arial"/>
        <family val="2"/>
      </rPr>
      <t>TCRL Package</t>
    </r>
    <r>
      <rPr>
        <sz val="10"/>
        <color rgb="FF000000"/>
        <rFont val="Arial"/>
        <family val="2"/>
      </rPr>
      <t xml:space="preserve"> or conclude </t>
    </r>
    <r>
      <rPr>
        <sz val="10"/>
        <color rgb="FFFF0000"/>
        <rFont val="Arial"/>
        <family val="2"/>
      </rPr>
      <t>the resolution process defined in the Errata Process Document (EPD)</t>
    </r>
    <r>
      <rPr>
        <sz val="10"/>
        <color rgb="FF000000"/>
        <rFont val="Arial"/>
        <family val="2"/>
      </rPr>
      <t xml:space="preserve"> as rejected TSEs. At any time in the future, additional TSEs may be necessary to further handle implications of the implemented errata. </t>
    </r>
  </si>
  <si>
    <t>In order to pick up errata in a previously qualified design, it is necessary to review and implement all applicable errata that have been released from the version qualified to. For example, if AVRCP 1.6 was qualified to and AVRCP 1.6.3 is the current active specification, you have to look at the Integrated Errata in AVRCP 1.6.1, AVRCP 1.6.2, and AVRCP 1.6.3.</t>
  </si>
  <si>
    <r>
      <rPr>
        <b/>
        <sz val="10"/>
        <color rgb="FFFF0000"/>
        <rFont val="Arial"/>
        <family val="2"/>
      </rPr>
      <t>Specification</t>
    </r>
    <r>
      <rPr>
        <b/>
        <sz val="10"/>
        <color theme="1"/>
        <rFont val="Arial"/>
        <family val="2"/>
      </rPr>
      <t xml:space="preserve"> Version</t>
    </r>
  </si>
  <si>
    <t xml:space="preserve">Adoption Date </t>
  </si>
  <si>
    <t>Specification Status</t>
  </si>
  <si>
    <t>Integrated Errata</t>
  </si>
  <si>
    <t>Feature Additions (for Major Version X.Y Releases)</t>
  </si>
  <si>
    <t>BAS 1.1</t>
  </si>
  <si>
    <t>Active</t>
  </si>
  <si>
    <t>Required Features:
None
Optional features:
11 new characteristics with associated behavior
Battery Level Status
Estimated Service Date
Battery Critical Status
Battery Energy Status
Battery Time Status
Battery Health Status
Battery Health Information
Battery Information
Manufacturer Name String
Model Number String
Serial Number String</t>
  </si>
  <si>
    <t>Errata Summary</t>
  </si>
  <si>
    <r>
      <rPr>
        <sz val="10"/>
        <rFont val="Arial"/>
        <family val="2"/>
      </rPr>
      <t>*</t>
    </r>
    <r>
      <rPr>
        <sz val="10"/>
        <color rgb="FFFF0000"/>
        <rFont val="Arial"/>
        <family val="2"/>
      </rPr>
      <t xml:space="preserve"> TSE severity categorization </t>
    </r>
    <r>
      <rPr>
        <sz val="10"/>
        <rFont val="Arial"/>
        <family val="2"/>
      </rPr>
      <t>began with TCRL 2015-1 around February 2015. Prior to that date, TSEs external to the Core will not have a</t>
    </r>
    <r>
      <rPr>
        <sz val="10"/>
        <color rgb="FFFF0000"/>
        <rFont val="Arial"/>
        <family val="2"/>
      </rPr>
      <t xml:space="preserve"> severity.</t>
    </r>
  </si>
  <si>
    <t>Erratum ID</t>
  </si>
  <si>
    <t>Part (From Errata System)</t>
  </si>
  <si>
    <t>Subject (From Errata System)</t>
  </si>
  <si>
    <t>Erratum Severity</t>
  </si>
  <si>
    <r>
      <rPr>
        <b/>
        <sz val="10"/>
        <rFont val="Arial"/>
        <family val="2"/>
      </rPr>
      <t>TSE</t>
    </r>
    <r>
      <rPr>
        <b/>
        <sz val="10"/>
        <color rgb="FFFF0000"/>
        <rFont val="Arial"/>
        <family val="2"/>
      </rPr>
      <t xml:space="preserve"> Severity</t>
    </r>
    <r>
      <rPr>
        <b/>
        <sz val="10"/>
        <rFont val="Arial"/>
        <family val="2"/>
      </rPr>
      <t>*</t>
    </r>
  </si>
  <si>
    <t>TSE</t>
  </si>
  <si>
    <t>TSE Status</t>
  </si>
  <si>
    <t>Comment</t>
  </si>
  <si>
    <t>BAS 1.0</t>
  </si>
  <si>
    <t>GATT Handles in SDP record</t>
  </si>
  <si>
    <r>
      <rPr>
        <sz val="10"/>
        <color rgb="FFFF0000"/>
        <rFont val="Arial"/>
        <family val="2"/>
      </rPr>
      <t>1/</t>
    </r>
    <r>
      <rPr>
        <sz val="10"/>
        <rFont val="Arial"/>
        <family val="2"/>
      </rPr>
      <t>Tech</t>
    </r>
    <r>
      <rPr>
        <sz val="10"/>
        <color rgb="FFFF0000"/>
        <rFont val="Arial"/>
        <family val="2"/>
      </rPr>
      <t>nical</t>
    </r>
    <r>
      <rPr>
        <sz val="10"/>
        <rFont val="Arial"/>
        <family val="2"/>
      </rPr>
      <t xml:space="preserve"> Low</t>
    </r>
  </si>
  <si>
    <t>No</t>
  </si>
  <si>
    <t>Body Composition Service  (BCS)</t>
  </si>
  <si>
    <r>
      <rPr>
        <b/>
        <sz val="10"/>
        <color rgb="FFFF0000"/>
        <rFont val="Arial"/>
        <family val="2"/>
      </rPr>
      <t xml:space="preserve">This sheet summarizes Specification Errata and the corresponding known Test Impact at the time of adoption of an X.Y specification enhancement or a specification maintenance .Z. This sheet is provided for informative purposes only. </t>
    </r>
    <r>
      <rPr>
        <sz val="10"/>
        <color rgb="FFFF0000"/>
        <rFont val="Arial"/>
        <family val="2"/>
      </rPr>
      <t xml:space="preserve">
TSEs that are open at the time of specification adoption can eventually become part of updated qualification requirements in future maintenance releases of a TCRL Package or conclude the resolution process defined in the Errata Process Document (EPD) as rejected TSEs. At any time in the future, additional TSEs may be necessary to further handle implications of the implemented errata. </t>
    </r>
  </si>
  <si>
    <t>Specification Version</t>
  </si>
  <si>
    <t>BCS 1.0.1</t>
  </si>
  <si>
    <t>16256, 16257, 18743, 18955, 22309, 23312</t>
  </si>
  <si>
    <t>N/A</t>
  </si>
  <si>
    <t>* TSE severity categorization began with TCRL 2015-1 around February 2015. Prior to that date, TSEs external to the Core will not have a severity.</t>
  </si>
  <si>
    <t>TSE Severity*</t>
  </si>
  <si>
    <t>BCS 1.0</t>
  </si>
  <si>
    <t>Incorrect use of Service Changed</t>
  </si>
  <si>
    <t>2/Technical Medium</t>
  </si>
  <si>
    <t>Yes</t>
  </si>
  <si>
    <t>Released</t>
  </si>
  <si>
    <t>Adds ICS and new test cases. Released in TCRL 2024-1.</t>
  </si>
  <si>
    <t>1/Technical Low</t>
  </si>
  <si>
    <t>TSE 18101 has been filed against GATT because the test impact is to GGIT and does not directly affect the service TS.</t>
  </si>
  <si>
    <t>Aligning with the updated PCLA policy</t>
  </si>
  <si>
    <t>Editorial</t>
  </si>
  <si>
    <t>Update Contributors table to Acknowledgments</t>
  </si>
  <si>
    <t>Update reference to Bluetooth Core Specification version</t>
  </si>
  <si>
    <t>Conformance section - update needed per ES-23224</t>
  </si>
  <si>
    <t>Blood Pressure Profile  (BLP)</t>
  </si>
  <si>
    <t>BLP 1.0.1</t>
  </si>
  <si>
    <t>Erratum 9145</t>
  </si>
  <si>
    <t>BLP 1.1</t>
  </si>
  <si>
    <t>Deprecated</t>
  </si>
  <si>
    <t>None</t>
  </si>
  <si>
    <t>Required Features:
None
Optional features:
Enhanced Blood Pressure Sensor, Enhanced Blood Pressure Collector, enhancements to include Device Time Profile, enhancements to include User Data Service</t>
  </si>
  <si>
    <t>BLP 1.1.1</t>
  </si>
  <si>
    <t>16360, 17631, 17658</t>
  </si>
  <si>
    <t>BLP 1.0</t>
  </si>
  <si>
    <t>security mode 1 level 4 is not allowed</t>
  </si>
  <si>
    <t>Not categorized</t>
  </si>
  <si>
    <t>incorrect use of Service Changed in profile</t>
  </si>
  <si>
    <t>Adds ICS and new test cases. Released in TCRL 2021-2.</t>
  </si>
  <si>
    <t>Appropriate language updates</t>
  </si>
  <si>
    <t>Remove "normative" or "informative" words</t>
  </si>
  <si>
    <t>Blood Pressure Service  (BLS)</t>
  </si>
  <si>
    <t>BLS 1.1</t>
  </si>
  <si>
    <t>Required Features:
None
Optional features:
Enhanced Blood Pressure Service, E2E-CRC, User Data Service, User Facing Time, Enhanced Blood Pressure Measurement Characteristic, Enhanced Intermediate Cuff Pressure Characteristic, RACP Characteristic, Blood Pressure Record Characteristic, Epoch Start 2000 Flag</t>
  </si>
  <si>
    <t>BLS 1.1.1</t>
  </si>
  <si>
    <t>incorrect use of Service Changed</t>
  </si>
  <si>
    <r>
      <rPr>
        <sz val="10"/>
        <color rgb="FFFF0000"/>
        <rFont val="Arial"/>
        <family val="2"/>
      </rPr>
      <t xml:space="preserve">2/ </t>
    </r>
    <r>
      <rPr>
        <sz val="10"/>
        <rFont val="Arial"/>
        <family val="2"/>
      </rPr>
      <t>Tech</t>
    </r>
    <r>
      <rPr>
        <sz val="10"/>
        <color rgb="FFFF0000"/>
        <rFont val="Arial"/>
        <family val="2"/>
      </rPr>
      <t>nical</t>
    </r>
    <r>
      <rPr>
        <sz val="10"/>
        <rFont val="Arial"/>
        <family val="2"/>
      </rPr>
      <t xml:space="preserve"> Med</t>
    </r>
    <r>
      <rPr>
        <sz val="10"/>
        <color rgb="FFFF0000"/>
        <rFont val="Arial"/>
        <family val="2"/>
      </rPr>
      <t>ium</t>
    </r>
  </si>
  <si>
    <t>Bond Management Service  (BMS)</t>
  </si>
  <si>
    <t>BMS 1.0.1</t>
  </si>
  <si>
    <t>15767, 16242, 17148</t>
  </si>
  <si>
    <t>BMS 1.0</t>
  </si>
  <si>
    <r>
      <rPr>
        <sz val="10"/>
        <color rgb="FFFF0000"/>
        <rFont val="Arial"/>
        <family val="2"/>
      </rPr>
      <t>2/</t>
    </r>
    <r>
      <rPr>
        <sz val="10"/>
        <rFont val="Arial"/>
        <family val="2"/>
      </rPr>
      <t>Tech</t>
    </r>
    <r>
      <rPr>
        <sz val="10"/>
        <color rgb="FFFF0000"/>
        <rFont val="Arial"/>
        <family val="2"/>
      </rPr>
      <t>nical</t>
    </r>
    <r>
      <rPr>
        <sz val="10"/>
        <rFont val="Arial"/>
        <family val="2"/>
      </rPr>
      <t xml:space="preserve"> Med</t>
    </r>
    <r>
      <rPr>
        <sz val="10"/>
        <color rgb="FFFF0000"/>
        <rFont val="Arial"/>
        <family val="2"/>
      </rPr>
      <t>ium</t>
    </r>
  </si>
  <si>
    <t>Fix hyperlink style</t>
  </si>
  <si>
    <t>Continuous Glucose Monitoring Profile  (CGMP)</t>
  </si>
  <si>
    <t>CGMP 1.0.1</t>
  </si>
  <si>
    <t>ESR09: 6173</t>
  </si>
  <si>
    <t>CGMP 1.0.2</t>
  </si>
  <si>
    <t>15780, 16275, 17659</t>
  </si>
  <si>
    <t>CGMP 1.0</t>
  </si>
  <si>
    <t>Specification does not mention 'Time Offset' as a field of the CGM Status</t>
  </si>
  <si>
    <t>Appropriate Language updates</t>
  </si>
  <si>
    <t>Continuous Glucose Monitoring Service  (CGMS)</t>
  </si>
  <si>
    <t>CGMS 1.0.1</t>
  </si>
  <si>
    <t>ESR09: 6155, 6423</t>
  </si>
  <si>
    <t>CGMS 1.0.2</t>
  </si>
  <si>
    <t>16239, 16243, 17414</t>
  </si>
  <si>
    <t>CGMS 1.0</t>
  </si>
  <si>
    <t>E2E-CRC and Fields that need to be included in the CRC calculation.</t>
  </si>
  <si>
    <t>Added section for Time Offset field (see also E6173)</t>
  </si>
  <si>
    <t>define values for Calibration Data Record</t>
  </si>
  <si>
    <t>Adds ICS and a new test case. Released in TCRL 2021-2.</t>
  </si>
  <si>
    <t>Cycling Power Profile  (CPP)</t>
  </si>
  <si>
    <t>CPP 1.1</t>
  </si>
  <si>
    <t>Mandatory Features:
None
Optional Features:
Enhanced Offset Compensation</t>
  </si>
  <si>
    <t>CPP 1.1.1</t>
  </si>
  <si>
    <t>15782, 16588, 18744, 22313, 23359</t>
  </si>
  <si>
    <t>Editorial updates</t>
  </si>
  <si>
    <t>Update references to Bluetooth Core Specification version</t>
  </si>
  <si>
    <t>Conformance update needed per ES-23224</t>
  </si>
  <si>
    <t>Cycling Power Service  (CPS)</t>
  </si>
  <si>
    <t>CPS 1.1</t>
  </si>
  <si>
    <t>ESR09: 6426</t>
  </si>
  <si>
    <t>Mandatory Features:
None
Optional Features:
Enhanced Offset Compensation, use in a distributed/not distributed system</t>
  </si>
  <si>
    <t>CPS 1.1.1</t>
  </si>
  <si>
    <t>16586, 16587, 18745, 18971, 22592, 23313</t>
  </si>
  <si>
    <t>CPS 1.0</t>
  </si>
  <si>
    <t>Editorial issue (copy paste error)</t>
  </si>
  <si>
    <t>Update references to Bluetooth Core Specification version (CSA)</t>
  </si>
  <si>
    <t>Cycling Speed and Cadence Profile  (CSCP)</t>
  </si>
  <si>
    <t>CSCP 1.0.1</t>
  </si>
  <si>
    <t>15783, 17169, 18746, 18979, 22314, 23323</t>
  </si>
  <si>
    <t>CSCP 1.0</t>
  </si>
  <si>
    <t>Cycling Speed and Cadence Service  (CSCS)</t>
  </si>
  <si>
    <t>CSCS 1.0.1</t>
  </si>
  <si>
    <t>16574, 16649, 18747, 22315, 23314</t>
  </si>
  <si>
    <t>CSCS 1.0</t>
  </si>
  <si>
    <t xml:space="preserve">Update reference to Bluetooth Core Specification version </t>
  </si>
  <si>
    <t>Current Time Service  (CTS)</t>
  </si>
  <si>
    <t>CTS 1.1</t>
  </si>
  <si>
    <t>ESR08: 5450</t>
  </si>
  <si>
    <t>Mandatory Features:
None
Optional Features:
Service supported over BR/EDR transport</t>
  </si>
  <si>
    <t>CTS 1.0</t>
  </si>
  <si>
    <t>Duplicate and misplaced requirement</t>
  </si>
  <si>
    <t>Device Information Service  (DIS)</t>
  </si>
  <si>
    <t>DIS 1.1</t>
  </si>
  <si>
    <t>Mandatory Features:
Makes all Characteristics optional, removes mandating as a primary service
Optional Features:
None</t>
  </si>
  <si>
    <t>DIS 1.2</t>
  </si>
  <si>
    <t>E6237, E6238, E16573, E18774, E18793, E18795, E19229,  E19230, E22608, E23029, E23096, E23103</t>
  </si>
  <si>
    <t>Mandatory Features:
None
Optional Features:
Unique Device Identifier for Medical Devices
Multiple Instances</t>
  </si>
  <si>
    <t>DIS 1.0</t>
  </si>
  <si>
    <t>The PnP_ID characteristic incorrectly claims to be unique for each device</t>
  </si>
  <si>
    <t>The PnP_ID characteristic doesn't describe how its fields are combined into its characteristic value</t>
  </si>
  <si>
    <r>
      <t>1/</t>
    </r>
    <r>
      <rPr>
        <sz val="10"/>
        <color rgb="FFFF0000"/>
        <rFont val="Arial"/>
        <family val="2"/>
      </rPr>
      <t>Technical</t>
    </r>
    <r>
      <rPr>
        <sz val="10"/>
        <rFont val="Arial"/>
        <family val="2"/>
      </rPr>
      <t xml:space="preserve"> Low</t>
    </r>
  </si>
  <si>
    <t>GGIT conversion of DIS tests. Released in TCRL 2022-2-addition.</t>
  </si>
  <si>
    <t>Update the Conformance section</t>
  </si>
  <si>
    <t>Update the Transport Dependencies section</t>
  </si>
  <si>
    <t>GATT Sub-Procedure Requirements not clear</t>
  </si>
  <si>
    <t>Template updates and editorial fixes</t>
  </si>
  <si>
    <t>Unused abbreviations can be removed</t>
  </si>
  <si>
    <t>Update cross-reference</t>
  </si>
  <si>
    <t>Add an acronym to the "Acronyms and abbreviations" table</t>
  </si>
  <si>
    <t>Glucose Profile  (GLP)</t>
  </si>
  <si>
    <t>GLP 1.0.1</t>
  </si>
  <si>
    <t>16276, 16990, 17660</t>
  </si>
  <si>
    <t>GLP 1.0</t>
  </si>
  <si>
    <t>Glucose Service  (GLS)</t>
  </si>
  <si>
    <t>GLS 1.0.1</t>
  </si>
  <si>
    <t>16245, 17545</t>
  </si>
  <si>
    <t>GLS 1.0</t>
  </si>
  <si>
    <t>Insulin Delivery Profile  (IDP)</t>
  </si>
  <si>
    <t>IDP 1.0.1</t>
  </si>
  <si>
    <t>15797, 16486, 17661</t>
  </si>
  <si>
    <t>Insulin Delivery Profile 1.0</t>
  </si>
  <si>
    <t>incorrect use of Service Changed - impact on profile</t>
  </si>
  <si>
    <t>Insulin Delivery Service  (IDS)</t>
  </si>
  <si>
    <t>IDS 1.0.1</t>
  </si>
  <si>
    <t>16246, 17501, 17662</t>
  </si>
  <si>
    <t>Insulin Delivery Service 1.0</t>
  </si>
  <si>
    <r>
      <rPr>
        <sz val="10"/>
        <color rgb="FFFF0000"/>
        <rFont val="Arial"/>
        <family val="2"/>
      </rPr>
      <t>2/</t>
    </r>
    <r>
      <rPr>
        <sz val="10"/>
        <rFont val="Arial"/>
        <family val="2"/>
      </rPr>
      <t>Tech</t>
    </r>
    <r>
      <rPr>
        <sz val="10"/>
        <color rgb="FFFF0000"/>
        <rFont val="Arial"/>
        <family val="2"/>
      </rPr>
      <t>nica</t>
    </r>
    <r>
      <rPr>
        <sz val="10"/>
        <rFont val="Arial"/>
        <family val="2"/>
      </rPr>
      <t>l Med</t>
    </r>
    <r>
      <rPr>
        <sz val="10"/>
        <color rgb="FFFF0000"/>
        <rFont val="Arial"/>
        <family val="2"/>
      </rPr>
      <t>ium</t>
    </r>
  </si>
  <si>
    <t>Remove extra paragraph breaks and fix cross-reference styles</t>
  </si>
  <si>
    <t>Link Loss Service  (LLS)</t>
  </si>
  <si>
    <t>LLS 1.0.1</t>
  </si>
  <si>
    <t>ESR08: 4826</t>
  </si>
  <si>
    <t>LLS 1.0</t>
  </si>
  <si>
    <t>Device alert on explicit link termination</t>
  </si>
  <si>
    <t>Pulse Oximeter Profile  (PLXP)</t>
  </si>
  <si>
    <t>PLXP 1.0.1</t>
  </si>
  <si>
    <t>15807, 16277, 17663, 17996</t>
  </si>
  <si>
    <t>PLXP 1.0</t>
  </si>
  <si>
    <t>Replace TBD in References item</t>
  </si>
  <si>
    <t>Pulse Oximeter Service  (PLXS)</t>
  </si>
  <si>
    <t>PLXS 1.0.1</t>
  </si>
  <si>
    <t>16248, 16249, 17517, 17997</t>
  </si>
  <si>
    <t>PLXS 1.0</t>
  </si>
  <si>
    <t>References section starts with 2</t>
  </si>
  <si>
    <t>Proximity Profile  (PXP)</t>
  </si>
  <si>
    <t>PXP 1.0.1</t>
  </si>
  <si>
    <t>ESR08: 4643</t>
  </si>
  <si>
    <t>PXP 1.0</t>
  </si>
  <si>
    <t>Create a note that the use case can be spoofed if there is no data</t>
  </si>
  <si>
    <t>Reconnection Configuration Profile  (RCP)</t>
  </si>
  <si>
    <t>RCP 1.0.1</t>
  </si>
  <si>
    <t>15808 and 16487</t>
  </si>
  <si>
    <t>RCP 1.0</t>
  </si>
  <si>
    <t>Reconnection Configuration Service  (RCS)</t>
  </si>
  <si>
    <t>RCS 1.0.1</t>
  </si>
  <si>
    <t>14847, 15809, 15852, 16252</t>
  </si>
  <si>
    <t>RCS 1.0</t>
  </si>
  <si>
    <t>Discrepency between the characteristic table and the section name</t>
  </si>
  <si>
    <t>Feature</t>
  </si>
  <si>
    <t>Removed ICS item 4/20 and associated C.2. Released with TCRL 2022-1.</t>
  </si>
  <si>
    <t>Transport Discovery Service  (TDS)</t>
  </si>
  <si>
    <t>TDS 1.1</t>
  </si>
  <si>
    <t>ESR11: 7552</t>
  </si>
  <si>
    <t>Mandatory Features:
None
Optional Features:
BR-EDR Handover Data, Bluetooth SIG Data, Complete BR-EDR
Transport Block Data
descriptor</t>
  </si>
  <si>
    <t>TDS 1.0</t>
  </si>
  <si>
    <t>Incorrect values given for Parameter and Response Parameter fields</t>
  </si>
  <si>
    <t>User Data Service  (UDS)</t>
  </si>
  <si>
    <t>UDS 1.1</t>
  </si>
  <si>
    <t>Mandatory Features:
None
Optional Features:
Registered User characteristic, List All Users Procedure, Delete Users Procedure, Expose User Names Feature</t>
  </si>
  <si>
    <t>UDS 1.1.1</t>
  </si>
  <si>
    <t>13106, 16253, 18758, 22599, 23320</t>
  </si>
  <si>
    <t>UDS 1.0</t>
  </si>
  <si>
    <t>Incorrect reference to Procedure Completed section</t>
  </si>
  <si>
    <t>Updated as of the TCRL 2024-1 release. Includes updates from the Sports and Fitness Working Group batch 1 of .Z updates for BCS 1.0.1, CPP 1.1.1, CPS 1.1.1, CSCP 1.0.1, CSCS 1.0.1, and UDS 1.1.1. Miscellaneous editorial changes to the informative explanatory text and column headings. Prepared for TCRL 2024-1 publication.</t>
  </si>
  <si>
    <r>
      <t xml:space="preserve">No </t>
    </r>
    <r>
      <rPr>
        <sz val="10"/>
        <color rgb="FFFF0000"/>
        <rFont val="Arial"/>
        <family val="2"/>
      </rPr>
      <t>technical</t>
    </r>
    <r>
      <rPr>
        <sz val="10"/>
        <rFont val="Arial"/>
        <family val="2"/>
      </rPr>
      <t xml:space="preserve"> changes to this sheet compared to the previous publication. </t>
    </r>
    <r>
      <rPr>
        <sz val="10"/>
        <color rgb="FFFF0000"/>
        <rFont val="Arial"/>
        <family val="2"/>
      </rPr>
      <t>(There may be template-based editorial changes.)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</si>
</sst>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m\-yyyy"/>
    <numFmt numFmtId="165" formatCode="dd\-mmm\-yyyy"/>
    <numFmt numFmtId="166" formatCode="yyyy\-mm\-dd;@"/>
  </numFmts>
  <fonts count="22" x14ac:knownFonts="1">
    <font>
      <sz val="10"/>
      <color rgb="FF000000"/>
      <name val="Arial"/>
    </font>
    <font>
      <sz val="11"/>
      <color theme="1"/>
      <name val="Calibri"/>
      <family val="2"/>
      <scheme val="minor"/>
    </font>
    <font>
      <sz val="10"/>
      <name val="Arial"/>
      <family val="2"/>
    </font>
    <font>
      <sz val="10"/>
      <color indexed="8"/>
      <name val="Arial"/>
      <family val="2"/>
    </font>
    <font>
      <sz val="10"/>
      <color rgb="FF000000"/>
      <name val="Arial"/>
      <family val="2"/>
    </font>
    <font>
      <b/>
      <sz val="10"/>
      <color rgb="FF000000"/>
      <name val="Arial"/>
      <family val="2"/>
    </font>
    <font>
      <b/>
      <sz val="10"/>
      <name val="Arial"/>
      <family val="2"/>
    </font>
    <font>
      <u/>
      <sz val="10"/>
      <color theme="10"/>
      <name val="Arial"/>
      <family val="2"/>
    </font>
    <font>
      <sz val="10"/>
      <color theme="1"/>
      <name val="Arial"/>
      <family val="2"/>
    </font>
    <font>
      <u/>
      <sz val="11"/>
      <color theme="10"/>
      <name val="Calibri"/>
      <family val="2"/>
      <scheme val="minor"/>
    </font>
    <font>
      <b/>
      <sz val="18"/>
      <color theme="1"/>
      <name val="Arial"/>
      <family val="2"/>
    </font>
    <font>
      <b/>
      <sz val="14"/>
      <color theme="1"/>
      <name val="Arial"/>
      <family val="2"/>
    </font>
    <font>
      <sz val="14"/>
      <color theme="1"/>
      <name val="Arial"/>
      <family val="2"/>
    </font>
    <font>
      <b/>
      <sz val="10"/>
      <color theme="1"/>
      <name val="Arial"/>
      <family val="2"/>
    </font>
    <font>
      <b/>
      <sz val="16"/>
      <color rgb="FF000000"/>
      <name val="Arial"/>
      <family val="2"/>
    </font>
    <font>
      <sz val="11"/>
      <color theme="1"/>
      <name val="Arial"/>
      <family val="2"/>
    </font>
    <font>
      <b/>
      <sz val="11"/>
      <color theme="1"/>
      <name val="Arial"/>
      <family val="2"/>
    </font>
    <font>
      <sz val="10"/>
      <color rgb="FFFF0000"/>
      <name val="Arial"/>
      <family val="2"/>
    </font>
    <font>
      <b/>
      <sz val="12"/>
      <color rgb="FFFF0000"/>
      <name val="Arial"/>
      <family val="2"/>
    </font>
    <font>
      <b/>
      <sz val="16"/>
      <color rgb="FFFF0000"/>
      <name val="Arial"/>
      <family val="2"/>
    </font>
    <font>
      <b/>
      <sz val="10"/>
      <color rgb="FFFF0000"/>
      <name val="Arial"/>
      <family val="2"/>
    </font>
    <font>
      <sz val="11"/>
      <color rgb="FFFF0000"/>
      <name val="Arial"/>
      <family val="2"/>
    </font>
  </fonts>
  <fills count="12">
    <fill>
      <patternFill patternType="none"/>
    </fill>
    <fill>
      <patternFill patternType="gray125"/>
    </fill>
    <fill>
      <patternFill patternType="solid">
        <fgColor indexed="9"/>
        <bgColor indexed="24"/>
      </patternFill>
    </fill>
    <fill>
      <patternFill patternType="solid">
        <fgColor indexed="22"/>
        <bgColor indexed="24"/>
      </patternFill>
    </fill>
    <fill>
      <patternFill patternType="solid">
        <fgColor theme="2"/>
        <bgColor indexed="64"/>
      </patternFill>
    </fill>
    <fill>
      <patternFill patternType="solid">
        <fgColor theme="0"/>
        <bgColor indexed="64"/>
      </patternFill>
    </fill>
    <fill>
      <patternFill patternType="solid">
        <fgColor indexed="22"/>
        <bgColor indexed="31"/>
      </patternFill>
    </fill>
    <fill>
      <patternFill patternType="solid">
        <fgColor rgb="FFC0C0C0"/>
        <bgColor indexed="24"/>
      </patternFill>
    </fill>
    <fill>
      <patternFill patternType="solid">
        <fgColor rgb="FFB1A0C7"/>
        <bgColor indexed="64"/>
      </patternFill>
    </fill>
    <fill>
      <patternFill patternType="solid">
        <fgColor rgb="FFFFD85B"/>
        <bgColor indexed="64"/>
      </patternFill>
    </fill>
    <fill>
      <patternFill patternType="solid">
        <fgColor theme="0" tint="-0.249977111117893"/>
        <bgColor indexed="24"/>
      </patternFill>
    </fill>
    <fill>
      <patternFill patternType="solid">
        <fgColor theme="0" tint="-0.24994659260841701"/>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style="medium">
        <color auto="1"/>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style="thin">
        <color indexed="64"/>
      </top>
      <bottom style="thin">
        <color indexed="64"/>
      </bottom>
      <diagonal/>
    </border>
    <border>
      <left style="thin">
        <color indexed="8"/>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auto="1"/>
      </right>
      <top style="thin">
        <color indexed="64"/>
      </top>
      <bottom style="medium">
        <color auto="1"/>
      </bottom>
      <diagonal/>
    </border>
    <border>
      <left style="thin">
        <color indexed="64"/>
      </left>
      <right style="thin">
        <color indexed="64"/>
      </right>
      <top style="thin">
        <color indexed="64"/>
      </top>
      <bottom style="medium">
        <color indexed="64"/>
      </bottom>
      <diagonal/>
    </border>
  </borders>
  <cellStyleXfs count="5">
    <xf numFmtId="0" fontId="0" fillId="0" borderId="0"/>
    <xf numFmtId="0" fontId="7" fillId="0" borderId="0" applyNumberFormat="0" applyFill="0" applyBorder="0" applyAlignment="0" applyProtection="0"/>
    <xf numFmtId="0" fontId="1" fillId="0" borderId="0"/>
    <xf numFmtId="0" fontId="9" fillId="0" borderId="0" applyNumberFormat="0" applyFill="0" applyBorder="0" applyAlignment="0" applyProtection="0"/>
    <xf numFmtId="0" fontId="2" fillId="0" borderId="0"/>
  </cellStyleXfs>
  <cellXfs count="189">
    <xf numFmtId="0" fontId="0" fillId="0" borderId="0" xfId="0"/>
    <xf numFmtId="0" fontId="0" fillId="0" borderId="0" xfId="0" applyAlignment="1">
      <alignment horizontal="left"/>
    </xf>
    <xf numFmtId="0" fontId="6" fillId="0" borderId="0" xfId="0" applyFont="1" applyAlignment="1">
      <alignment horizontal="center"/>
    </xf>
    <xf numFmtId="0" fontId="0" fillId="0" borderId="0" xfId="0" applyAlignment="1">
      <alignment horizontal="center"/>
    </xf>
    <xf numFmtId="0" fontId="1" fillId="0" borderId="0" xfId="2"/>
    <xf numFmtId="0" fontId="10" fillId="0" borderId="0" xfId="4" applyFont="1"/>
    <xf numFmtId="0" fontId="8" fillId="0" borderId="0" xfId="4" applyFont="1"/>
    <xf numFmtId="0" fontId="11" fillId="0" borderId="0" xfId="4" applyFont="1"/>
    <xf numFmtId="0" fontId="12" fillId="0" borderId="0" xfId="4" applyFont="1"/>
    <xf numFmtId="0" fontId="13" fillId="0" borderId="0" xfId="4" applyFont="1"/>
    <xf numFmtId="49" fontId="11" fillId="0" borderId="0" xfId="0" applyNumberFormat="1" applyFont="1" applyAlignment="1">
      <alignment horizontal="left" vertical="top"/>
    </xf>
    <xf numFmtId="166" fontId="8" fillId="0" borderId="0" xfId="0" applyNumberFormat="1" applyFont="1" applyAlignment="1">
      <alignment vertical="top"/>
    </xf>
    <xf numFmtId="0" fontId="8" fillId="0" borderId="0" xfId="0" applyFont="1" applyAlignment="1">
      <alignment horizontal="left" vertical="top" wrapText="1"/>
    </xf>
    <xf numFmtId="0" fontId="8" fillId="0" borderId="0" xfId="0" applyFont="1" applyAlignment="1">
      <alignment vertical="top"/>
    </xf>
    <xf numFmtId="0" fontId="8" fillId="0" borderId="0" xfId="0" applyFont="1"/>
    <xf numFmtId="166" fontId="8" fillId="0" borderId="0" xfId="0" applyNumberFormat="1" applyFont="1"/>
    <xf numFmtId="0" fontId="8" fillId="0" borderId="0" xfId="0" applyFont="1" applyAlignment="1">
      <alignment wrapText="1"/>
    </xf>
    <xf numFmtId="49" fontId="13" fillId="6" borderId="7" xfId="0" applyNumberFormat="1" applyFont="1" applyFill="1" applyBorder="1" applyAlignment="1">
      <alignment horizontal="left" vertical="top"/>
    </xf>
    <xf numFmtId="166" fontId="13" fillId="6" borderId="8" xfId="0" applyNumberFormat="1" applyFont="1" applyFill="1" applyBorder="1" applyAlignment="1">
      <alignment horizontal="left" vertical="top"/>
    </xf>
    <xf numFmtId="0" fontId="14" fillId="0" borderId="0" xfId="0" applyFont="1" applyAlignment="1">
      <alignment horizontal="left"/>
    </xf>
    <xf numFmtId="0" fontId="0" fillId="0" borderId="0" xfId="0" applyAlignment="1">
      <alignment horizontal="left" vertical="top"/>
    </xf>
    <xf numFmtId="0" fontId="0" fillId="0" borderId="0" xfId="0" applyAlignment="1">
      <alignment vertical="top"/>
    </xf>
    <xf numFmtId="0" fontId="0" fillId="0" borderId="0" xfId="0" applyAlignment="1">
      <alignment horizontal="center" vertical="top"/>
    </xf>
    <xf numFmtId="0" fontId="5" fillId="0" borderId="4" xfId="0" applyFont="1" applyBorder="1" applyAlignment="1">
      <alignment horizontal="left" wrapText="1"/>
    </xf>
    <xf numFmtId="164" fontId="4" fillId="5" borderId="5" xfId="2" applyNumberFormat="1" applyFont="1" applyFill="1" applyBorder="1" applyAlignment="1">
      <alignment horizontal="left" wrapText="1"/>
    </xf>
    <xf numFmtId="0" fontId="4" fillId="0" borderId="0" xfId="0" applyFont="1" applyAlignment="1">
      <alignment horizontal="left"/>
    </xf>
    <xf numFmtId="0" fontId="13" fillId="6" borderId="10" xfId="0" applyFont="1" applyFill="1" applyBorder="1" applyAlignment="1">
      <alignment horizontal="left" vertical="top" wrapText="1"/>
    </xf>
    <xf numFmtId="0" fontId="8" fillId="0" borderId="11" xfId="0" applyFont="1" applyBorder="1" applyAlignment="1">
      <alignment wrapText="1"/>
    </xf>
    <xf numFmtId="0" fontId="3" fillId="2" borderId="6" xfId="0" applyFont="1" applyFill="1" applyBorder="1" applyAlignment="1">
      <alignment horizontal="left" vertical="top" wrapText="1"/>
    </xf>
    <xf numFmtId="0" fontId="3" fillId="2" borderId="6" xfId="0" applyFont="1" applyFill="1" applyBorder="1" applyAlignment="1">
      <alignment horizontal="center" vertical="top"/>
    </xf>
    <xf numFmtId="0" fontId="8" fillId="5" borderId="6" xfId="2" applyFont="1" applyFill="1" applyBorder="1" applyAlignment="1">
      <alignment wrapText="1"/>
    </xf>
    <xf numFmtId="0" fontId="4" fillId="0" borderId="0" xfId="0" applyFont="1"/>
    <xf numFmtId="0" fontId="4" fillId="0" borderId="0" xfId="0" applyFont="1" applyAlignment="1">
      <alignment horizontal="center"/>
    </xf>
    <xf numFmtId="0" fontId="16" fillId="4" borderId="6" xfId="2" applyFont="1" applyFill="1" applyBorder="1" applyAlignment="1">
      <alignment horizontal="left" wrapText="1"/>
    </xf>
    <xf numFmtId="0" fontId="16" fillId="4" borderId="3" xfId="2" applyFont="1" applyFill="1" applyBorder="1" applyAlignment="1">
      <alignment horizontal="left" wrapText="1"/>
    </xf>
    <xf numFmtId="0" fontId="15" fillId="0" borderId="0" xfId="2" applyFont="1"/>
    <xf numFmtId="0" fontId="7" fillId="2" borderId="6" xfId="1" applyFill="1" applyBorder="1" applyAlignment="1">
      <alignment horizontal="left" vertical="top" wrapText="1"/>
    </xf>
    <xf numFmtId="0" fontId="13" fillId="4" borderId="6" xfId="2" applyFont="1" applyFill="1" applyBorder="1" applyAlignment="1">
      <alignment horizontal="left" wrapText="1"/>
    </xf>
    <xf numFmtId="0" fontId="13" fillId="4" borderId="3" xfId="2" applyFont="1" applyFill="1" applyBorder="1" applyAlignment="1">
      <alignment horizontal="left" wrapText="1"/>
    </xf>
    <xf numFmtId="0" fontId="13" fillId="4" borderId="6" xfId="2" applyFont="1" applyFill="1" applyBorder="1" applyAlignment="1">
      <alignment wrapText="1"/>
    </xf>
    <xf numFmtId="0" fontId="3" fillId="3" borderId="13" xfId="0" applyFont="1" applyFill="1" applyBorder="1" applyAlignment="1">
      <alignment horizontal="left" vertical="top" wrapText="1"/>
    </xf>
    <xf numFmtId="0" fontId="6" fillId="3" borderId="13" xfId="0" applyFont="1" applyFill="1" applyBorder="1" applyAlignment="1">
      <alignment horizontal="center" vertical="top" wrapText="1"/>
    </xf>
    <xf numFmtId="0" fontId="6" fillId="3" borderId="13" xfId="0" applyFont="1" applyFill="1" applyBorder="1" applyAlignment="1">
      <alignment horizontal="center" vertical="top"/>
    </xf>
    <xf numFmtId="0" fontId="4" fillId="0" borderId="0" xfId="0" applyFont="1" applyAlignment="1">
      <alignment horizontal="left" vertical="top"/>
    </xf>
    <xf numFmtId="0" fontId="4" fillId="0" borderId="0" xfId="0" applyFont="1" applyAlignment="1">
      <alignment vertical="top"/>
    </xf>
    <xf numFmtId="0" fontId="4" fillId="0" borderId="0" xfId="0" applyFont="1" applyAlignment="1">
      <alignment horizontal="center" vertical="top"/>
    </xf>
    <xf numFmtId="0" fontId="8" fillId="0" borderId="0" xfId="2" applyFont="1"/>
    <xf numFmtId="0" fontId="7" fillId="3" borderId="13" xfId="1" applyFill="1" applyBorder="1" applyAlignment="1">
      <alignment horizontal="left" vertical="top" wrapText="1"/>
    </xf>
    <xf numFmtId="0" fontId="17" fillId="3" borderId="13" xfId="0" applyFont="1" applyFill="1" applyBorder="1" applyAlignment="1">
      <alignment horizontal="left" vertical="top" wrapText="1"/>
    </xf>
    <xf numFmtId="0" fontId="17" fillId="2" borderId="6" xfId="0" applyFont="1" applyFill="1" applyBorder="1" applyAlignment="1">
      <alignment horizontal="left" vertical="top" wrapText="1"/>
    </xf>
    <xf numFmtId="0" fontId="7" fillId="3" borderId="13" xfId="1" applyFill="1" applyBorder="1" applyAlignment="1">
      <alignment horizontal="left" vertical="top"/>
    </xf>
    <xf numFmtId="0" fontId="3" fillId="2" borderId="6" xfId="0" applyFont="1" applyFill="1" applyBorder="1" applyAlignment="1">
      <alignment horizontal="center" vertical="top" wrapText="1"/>
    </xf>
    <xf numFmtId="0" fontId="17" fillId="2" borderId="6" xfId="0" applyFont="1" applyFill="1" applyBorder="1" applyAlignment="1">
      <alignment horizontal="center" vertical="top" wrapText="1"/>
    </xf>
    <xf numFmtId="0" fontId="17" fillId="3" borderId="13" xfId="0" applyFont="1" applyFill="1" applyBorder="1" applyAlignment="1">
      <alignment horizontal="left" vertical="top"/>
    </xf>
    <xf numFmtId="164" fontId="4" fillId="5" borderId="5" xfId="2" applyNumberFormat="1" applyFont="1" applyFill="1" applyBorder="1" applyAlignment="1">
      <alignment horizontal="left" vertical="top" wrapText="1"/>
    </xf>
    <xf numFmtId="0" fontId="8" fillId="5" borderId="6" xfId="2" applyFont="1" applyFill="1" applyBorder="1" applyAlignment="1">
      <alignment vertical="top" wrapText="1"/>
    </xf>
    <xf numFmtId="0" fontId="1" fillId="0" borderId="0" xfId="2" applyAlignment="1">
      <alignment vertical="top"/>
    </xf>
    <xf numFmtId="164" fontId="2" fillId="5" borderId="5" xfId="2" applyNumberFormat="1" applyFont="1" applyFill="1" applyBorder="1" applyAlignment="1">
      <alignment horizontal="left" vertical="top" wrapText="1"/>
    </xf>
    <xf numFmtId="0" fontId="2" fillId="5" borderId="6" xfId="2" applyFont="1" applyFill="1" applyBorder="1" applyAlignment="1">
      <alignment vertical="top" wrapText="1"/>
    </xf>
    <xf numFmtId="0" fontId="2" fillId="3" borderId="13" xfId="0" applyFont="1" applyFill="1" applyBorder="1" applyAlignment="1">
      <alignment horizontal="left" vertical="top" wrapText="1"/>
    </xf>
    <xf numFmtId="0" fontId="2" fillId="3" borderId="13" xfId="0" applyFont="1" applyFill="1" applyBorder="1" applyAlignment="1">
      <alignment horizontal="center" vertical="top"/>
    </xf>
    <xf numFmtId="0" fontId="2" fillId="2" borderId="6" xfId="0" applyFont="1" applyFill="1" applyBorder="1" applyAlignment="1">
      <alignment horizontal="left" vertical="top" wrapText="1"/>
    </xf>
    <xf numFmtId="0" fontId="2" fillId="2" borderId="6" xfId="0" applyFont="1" applyFill="1" applyBorder="1" applyAlignment="1">
      <alignment horizontal="center" vertical="top"/>
    </xf>
    <xf numFmtId="0" fontId="2" fillId="3" borderId="13" xfId="0" applyFont="1" applyFill="1" applyBorder="1" applyAlignment="1">
      <alignment horizontal="center" vertical="top" wrapText="1"/>
    </xf>
    <xf numFmtId="0" fontId="2" fillId="3" borderId="13" xfId="0" applyFont="1" applyFill="1" applyBorder="1" applyAlignment="1">
      <alignment horizontal="left" vertical="top"/>
    </xf>
    <xf numFmtId="0" fontId="2" fillId="3" borderId="6" xfId="0" applyFont="1" applyFill="1" applyBorder="1" applyAlignment="1">
      <alignment horizontal="center" vertical="top"/>
    </xf>
    <xf numFmtId="0" fontId="2" fillId="2" borderId="6" xfId="0" applyFont="1" applyFill="1" applyBorder="1" applyAlignment="1">
      <alignment horizontal="center" vertical="top" wrapText="1"/>
    </xf>
    <xf numFmtId="0" fontId="2" fillId="0" borderId="13" xfId="0" applyFont="1" applyBorder="1" applyAlignment="1">
      <alignment horizontal="center" vertical="top"/>
    </xf>
    <xf numFmtId="0" fontId="2" fillId="0" borderId="13" xfId="0" applyFont="1" applyBorder="1" applyAlignment="1">
      <alignment horizontal="left" vertical="top" wrapText="1"/>
    </xf>
    <xf numFmtId="165" fontId="17" fillId="0" borderId="0" xfId="4" applyNumberFormat="1" applyFont="1" applyAlignment="1">
      <alignment horizontal="left"/>
    </xf>
    <xf numFmtId="0" fontId="8" fillId="0" borderId="0" xfId="4" applyFont="1" applyAlignment="1">
      <alignment horizontal="left" wrapText="1"/>
    </xf>
    <xf numFmtId="0" fontId="6" fillId="0" borderId="14" xfId="0" applyFont="1" applyBorder="1"/>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8" borderId="16" xfId="1" applyFill="1" applyBorder="1" applyAlignment="1" applyProtection="1"/>
    <xf numFmtId="0" fontId="0" fillId="0" borderId="20" xfId="0" applyBorder="1"/>
    <xf numFmtId="0" fontId="0" fillId="9" borderId="24" xfId="0" applyFill="1" applyBorder="1"/>
    <xf numFmtId="164" fontId="2" fillId="5" borderId="5" xfId="2" applyNumberFormat="1" applyFont="1" applyFill="1" applyBorder="1" applyAlignment="1">
      <alignment horizontal="left" wrapText="1"/>
    </xf>
    <xf numFmtId="0" fontId="18" fillId="0" borderId="0" xfId="0" applyFont="1" applyAlignment="1">
      <alignment vertical="center"/>
    </xf>
    <xf numFmtId="164" fontId="4" fillId="5" borderId="28" xfId="2" applyNumberFormat="1" applyFont="1" applyFill="1" applyBorder="1" applyAlignment="1">
      <alignment horizontal="left" wrapText="1"/>
    </xf>
    <xf numFmtId="0" fontId="8" fillId="5" borderId="12" xfId="2" applyFont="1" applyFill="1" applyBorder="1" applyAlignment="1">
      <alignment wrapText="1"/>
    </xf>
    <xf numFmtId="49" fontId="8" fillId="0" borderId="9" xfId="0" applyNumberFormat="1" applyFont="1" applyBorder="1" applyAlignment="1">
      <alignment horizontal="left"/>
    </xf>
    <xf numFmtId="166" fontId="8" fillId="0" borderId="9" xfId="0" applyNumberFormat="1" applyFont="1" applyBorder="1" applyAlignment="1">
      <alignment horizontal="left"/>
    </xf>
    <xf numFmtId="49" fontId="2" fillId="0" borderId="9" xfId="0" applyNumberFormat="1" applyFont="1" applyBorder="1" applyAlignment="1">
      <alignment horizontal="left"/>
    </xf>
    <xf numFmtId="166" fontId="2" fillId="0" borderId="9" xfId="0" applyNumberFormat="1" applyFont="1" applyBorder="1" applyAlignment="1">
      <alignment horizontal="left"/>
    </xf>
    <xf numFmtId="0" fontId="2" fillId="0" borderId="9" xfId="4" applyBorder="1" applyAlignment="1">
      <alignment horizontal="left" wrapText="1"/>
    </xf>
    <xf numFmtId="166" fontId="2" fillId="0" borderId="21" xfId="0" applyNumberFormat="1" applyFont="1" applyBorder="1" applyAlignment="1">
      <alignment horizontal="left"/>
    </xf>
    <xf numFmtId="0" fontId="2" fillId="0" borderId="31" xfId="0" applyFont="1" applyBorder="1" applyAlignment="1">
      <alignment wrapText="1"/>
    </xf>
    <xf numFmtId="0" fontId="2" fillId="0" borderId="11" xfId="4" applyBorder="1" applyAlignment="1">
      <alignment horizontal="left" wrapText="1"/>
    </xf>
    <xf numFmtId="0" fontId="17" fillId="0" borderId="33" xfId="4" applyFont="1" applyBorder="1"/>
    <xf numFmtId="166" fontId="17" fillId="0" borderId="33" xfId="0" applyNumberFormat="1" applyFont="1" applyBorder="1" applyAlignment="1">
      <alignment horizontal="left"/>
    </xf>
    <xf numFmtId="0" fontId="17" fillId="0" borderId="32" xfId="4" applyFont="1" applyBorder="1" applyAlignment="1">
      <alignment wrapText="1"/>
    </xf>
    <xf numFmtId="164" fontId="2" fillId="5" borderId="13" xfId="2" applyNumberFormat="1" applyFont="1" applyFill="1" applyBorder="1" applyAlignment="1">
      <alignment horizontal="left" wrapText="1"/>
    </xf>
    <xf numFmtId="0" fontId="2" fillId="5" borderId="13" xfId="2" applyFont="1" applyFill="1" applyBorder="1" applyAlignment="1">
      <alignment wrapText="1"/>
    </xf>
    <xf numFmtId="0" fontId="19" fillId="0" borderId="0" xfId="0" applyFont="1" applyAlignment="1">
      <alignment horizontal="left"/>
    </xf>
    <xf numFmtId="0" fontId="17" fillId="5" borderId="6" xfId="2" applyFont="1" applyFill="1" applyBorder="1" applyAlignment="1">
      <alignment wrapText="1"/>
    </xf>
    <xf numFmtId="0" fontId="17" fillId="0" borderId="0" xfId="0" applyFont="1" applyAlignment="1">
      <alignment horizontal="left"/>
    </xf>
    <xf numFmtId="0" fontId="20" fillId="4" borderId="6" xfId="2" applyFont="1" applyFill="1" applyBorder="1" applyAlignment="1">
      <alignment horizontal="left" wrapText="1"/>
    </xf>
    <xf numFmtId="0" fontId="20" fillId="4" borderId="3" xfId="2" applyFont="1" applyFill="1" applyBorder="1" applyAlignment="1">
      <alignment horizontal="left" wrapText="1"/>
    </xf>
    <xf numFmtId="0" fontId="20" fillId="4" borderId="6" xfId="2" applyFont="1" applyFill="1" applyBorder="1" applyAlignment="1">
      <alignment wrapText="1"/>
    </xf>
    <xf numFmtId="0" fontId="17" fillId="0" borderId="0" xfId="0" applyFont="1" applyAlignment="1">
      <alignment horizontal="center"/>
    </xf>
    <xf numFmtId="0" fontId="20" fillId="0" borderId="4" xfId="0" applyFont="1" applyBorder="1" applyAlignment="1">
      <alignment horizontal="left" wrapText="1"/>
    </xf>
    <xf numFmtId="0" fontId="2" fillId="10" borderId="6" xfId="0" applyFont="1" applyFill="1" applyBorder="1" applyAlignment="1">
      <alignment horizontal="left" vertical="top" wrapText="1"/>
    </xf>
    <xf numFmtId="164" fontId="17" fillId="5" borderId="5" xfId="2" applyNumberFormat="1" applyFont="1" applyFill="1" applyBorder="1" applyAlignment="1">
      <alignment horizontal="left" wrapText="1"/>
    </xf>
    <xf numFmtId="0" fontId="7" fillId="2" borderId="6" xfId="1" applyFill="1" applyBorder="1" applyAlignment="1">
      <alignment horizontal="left" wrapText="1"/>
    </xf>
    <xf numFmtId="0" fontId="17" fillId="2" borderId="6" xfId="0" applyFont="1" applyFill="1" applyBorder="1" applyAlignment="1">
      <alignment horizontal="left" wrapText="1"/>
    </xf>
    <xf numFmtId="0" fontId="17" fillId="2" borderId="6" xfId="0" applyFont="1" applyFill="1" applyBorder="1" applyAlignment="1">
      <alignment horizontal="center"/>
    </xf>
    <xf numFmtId="0" fontId="17" fillId="0" borderId="13" xfId="0" applyFont="1" applyBorder="1" applyAlignment="1">
      <alignment horizontal="center" wrapText="1"/>
    </xf>
    <xf numFmtId="0" fontId="7" fillId="0" borderId="13" xfId="1" applyFill="1" applyBorder="1" applyAlignment="1">
      <alignment horizontal="left"/>
    </xf>
    <xf numFmtId="0" fontId="17" fillId="0" borderId="13" xfId="0" applyFont="1" applyBorder="1" applyAlignment="1">
      <alignment horizontal="left"/>
    </xf>
    <xf numFmtId="0" fontId="17" fillId="0" borderId="13" xfId="0" applyFont="1" applyBorder="1" applyAlignment="1">
      <alignment horizontal="left" wrapText="1"/>
    </xf>
    <xf numFmtId="0" fontId="7" fillId="3" borderId="13" xfId="1" applyFill="1" applyBorder="1" applyAlignment="1">
      <alignment horizontal="left" wrapText="1"/>
    </xf>
    <xf numFmtId="0" fontId="17" fillId="3" borderId="13" xfId="0" applyFont="1" applyFill="1" applyBorder="1" applyAlignment="1">
      <alignment horizontal="left" wrapText="1"/>
    </xf>
    <xf numFmtId="0" fontId="17" fillId="10" borderId="13" xfId="0" applyFont="1" applyFill="1" applyBorder="1" applyAlignment="1">
      <alignment horizontal="left" wrapText="1"/>
    </xf>
    <xf numFmtId="0" fontId="17" fillId="3" borderId="13" xfId="0" applyFont="1" applyFill="1" applyBorder="1" applyAlignment="1">
      <alignment horizontal="center"/>
    </xf>
    <xf numFmtId="0" fontId="17" fillId="11" borderId="13" xfId="0" applyFont="1" applyFill="1" applyBorder="1" applyAlignment="1">
      <alignment horizontal="center" wrapText="1"/>
    </xf>
    <xf numFmtId="0" fontId="7" fillId="11" borderId="13" xfId="1" applyFill="1" applyBorder="1" applyAlignment="1">
      <alignment horizontal="left"/>
    </xf>
    <xf numFmtId="0" fontId="17" fillId="11" borderId="13" xfId="0" applyFont="1" applyFill="1" applyBorder="1" applyAlignment="1">
      <alignment horizontal="left"/>
    </xf>
    <xf numFmtId="0" fontId="17" fillId="11" borderId="13" xfId="0" applyFont="1" applyFill="1" applyBorder="1" applyAlignment="1">
      <alignment horizontal="left" wrapText="1"/>
    </xf>
    <xf numFmtId="0" fontId="17" fillId="0" borderId="6" xfId="0" applyFont="1" applyBorder="1" applyAlignment="1">
      <alignment horizontal="left" wrapText="1"/>
    </xf>
    <xf numFmtId="0" fontId="6" fillId="3" borderId="13" xfId="0" applyFont="1" applyFill="1" applyBorder="1" applyAlignment="1">
      <alignment horizontal="center" wrapText="1"/>
    </xf>
    <xf numFmtId="0" fontId="6" fillId="3" borderId="13" xfId="0" applyFont="1" applyFill="1" applyBorder="1" applyAlignment="1">
      <alignment horizontal="center"/>
    </xf>
    <xf numFmtId="0" fontId="3" fillId="3" borderId="13" xfId="0" applyFont="1" applyFill="1" applyBorder="1" applyAlignment="1">
      <alignment horizontal="left" wrapText="1"/>
    </xf>
    <xf numFmtId="0" fontId="17" fillId="2" borderId="6" xfId="0" applyFont="1" applyFill="1" applyBorder="1" applyAlignment="1">
      <alignment horizontal="center" wrapText="1"/>
    </xf>
    <xf numFmtId="0" fontId="21" fillId="0" borderId="0" xfId="2" applyFont="1"/>
    <xf numFmtId="0" fontId="17" fillId="0" borderId="0" xfId="0" applyFont="1"/>
    <xf numFmtId="0" fontId="20" fillId="3" borderId="6" xfId="0" applyFont="1" applyFill="1" applyBorder="1" applyAlignment="1">
      <alignment horizontal="left" wrapText="1"/>
    </xf>
    <xf numFmtId="0" fontId="20" fillId="3" borderId="6" xfId="0" applyFont="1" applyFill="1" applyBorder="1" applyAlignment="1">
      <alignment horizontal="center" wrapText="1"/>
    </xf>
    <xf numFmtId="0" fontId="20" fillId="3" borderId="6" xfId="0" applyFont="1" applyFill="1" applyBorder="1" applyAlignment="1">
      <alignment horizontal="center"/>
    </xf>
    <xf numFmtId="0" fontId="17" fillId="3" borderId="13" xfId="0" applyFont="1" applyFill="1" applyBorder="1" applyAlignment="1">
      <alignment horizontal="center" wrapText="1"/>
    </xf>
    <xf numFmtId="0" fontId="7" fillId="3" borderId="13" xfId="1" applyFill="1" applyBorder="1" applyAlignment="1">
      <alignment horizontal="left"/>
    </xf>
    <xf numFmtId="0" fontId="17" fillId="3" borderId="13" xfId="0" applyFont="1" applyFill="1" applyBorder="1" applyAlignment="1">
      <alignment horizontal="left"/>
    </xf>
    <xf numFmtId="0" fontId="17" fillId="0" borderId="13" xfId="0" applyFont="1" applyBorder="1" applyAlignment="1">
      <alignment horizontal="center"/>
    </xf>
    <xf numFmtId="0" fontId="6" fillId="3" borderId="6" xfId="0" applyFont="1" applyFill="1" applyBorder="1" applyAlignment="1">
      <alignment horizontal="left" wrapText="1"/>
    </xf>
    <xf numFmtId="0" fontId="6" fillId="3" borderId="6" xfId="0" applyFont="1" applyFill="1" applyBorder="1" applyAlignment="1">
      <alignment horizontal="center" wrapText="1"/>
    </xf>
    <xf numFmtId="0" fontId="6" fillId="3" borderId="6" xfId="0" applyFont="1" applyFill="1" applyBorder="1" applyAlignment="1">
      <alignment horizontal="center"/>
    </xf>
    <xf numFmtId="0" fontId="3" fillId="2" borderId="6" xfId="0" applyFont="1" applyFill="1" applyBorder="1" applyAlignment="1">
      <alignment horizontal="left" wrapText="1"/>
    </xf>
    <xf numFmtId="0" fontId="3" fillId="2" borderId="6" xfId="0" applyFont="1" applyFill="1" applyBorder="1" applyAlignment="1">
      <alignment horizontal="center"/>
    </xf>
    <xf numFmtId="0" fontId="2" fillId="5" borderId="6" xfId="2" applyFont="1" applyFill="1" applyBorder="1" applyAlignment="1">
      <alignment wrapText="1"/>
    </xf>
    <xf numFmtId="0" fontId="3" fillId="2" borderId="12" xfId="0" applyFont="1" applyFill="1" applyBorder="1" applyAlignment="1">
      <alignment horizontal="left" wrapText="1"/>
    </xf>
    <xf numFmtId="0" fontId="3" fillId="2" borderId="12" xfId="0" applyFont="1" applyFill="1" applyBorder="1" applyAlignment="1">
      <alignment horizontal="center"/>
    </xf>
    <xf numFmtId="0" fontId="7" fillId="2" borderId="12" xfId="1" applyFill="1" applyBorder="1" applyAlignment="1">
      <alignment horizontal="left" wrapText="1"/>
    </xf>
    <xf numFmtId="0" fontId="7" fillId="7" borderId="6" xfId="1" applyFill="1" applyBorder="1" applyAlignment="1">
      <alignment horizontal="left" wrapText="1"/>
    </xf>
    <xf numFmtId="0" fontId="3" fillId="3" borderId="13" xfId="0" applyFont="1" applyFill="1" applyBorder="1" applyAlignment="1">
      <alignment horizontal="center"/>
    </xf>
    <xf numFmtId="0" fontId="2" fillId="2" borderId="12" xfId="0" applyFont="1" applyFill="1" applyBorder="1" applyAlignment="1">
      <alignment horizontal="left" wrapText="1"/>
    </xf>
    <xf numFmtId="0" fontId="2" fillId="3" borderId="13" xfId="0" applyFont="1" applyFill="1" applyBorder="1" applyAlignment="1">
      <alignment horizontal="center"/>
    </xf>
    <xf numFmtId="0" fontId="2" fillId="2" borderId="6" xfId="0" applyFont="1" applyFill="1" applyBorder="1" applyAlignment="1">
      <alignment horizontal="center" wrapText="1"/>
    </xf>
    <xf numFmtId="0" fontId="2" fillId="2" borderId="6" xfId="0" applyFont="1" applyFill="1" applyBorder="1" applyAlignment="1">
      <alignment horizontal="left" wrapText="1"/>
    </xf>
    <xf numFmtId="0" fontId="2" fillId="3" borderId="13" xfId="0" applyFont="1" applyFill="1" applyBorder="1" applyAlignment="1">
      <alignment horizontal="left" wrapText="1"/>
    </xf>
    <xf numFmtId="0" fontId="8" fillId="0" borderId="0" xfId="4" applyFont="1" applyAlignment="1">
      <alignment horizontal="left" wrapText="1"/>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23" xfId="0" applyFont="1" applyBorder="1" applyAlignment="1">
      <alignment horizontal="left" vertical="center"/>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27" xfId="0" applyFont="1" applyBorder="1" applyAlignment="1">
      <alignment horizontal="left" vertical="center" wrapText="1"/>
    </xf>
    <xf numFmtId="0" fontId="4" fillId="0" borderId="1" xfId="0" applyFont="1" applyBorder="1" applyAlignment="1">
      <alignment horizontal="left" wrapText="1"/>
    </xf>
    <xf numFmtId="0" fontId="4" fillId="0" borderId="2" xfId="0" applyFont="1" applyBorder="1" applyAlignment="1">
      <alignment horizontal="left" wrapText="1"/>
    </xf>
    <xf numFmtId="0" fontId="4" fillId="0" borderId="3" xfId="0" applyFont="1" applyBorder="1" applyAlignment="1">
      <alignment horizontal="left" wrapText="1"/>
    </xf>
    <xf numFmtId="0" fontId="13" fillId="4" borderId="1" xfId="2" applyFont="1" applyFill="1" applyBorder="1" applyAlignment="1">
      <alignment horizontal="left" wrapText="1"/>
    </xf>
    <xf numFmtId="0" fontId="13" fillId="4" borderId="2" xfId="2" applyFont="1" applyFill="1" applyBorder="1" applyAlignment="1">
      <alignment horizontal="left" wrapText="1"/>
    </xf>
    <xf numFmtId="0" fontId="2" fillId="5" borderId="1" xfId="2" applyFont="1" applyFill="1" applyBorder="1" applyAlignment="1">
      <alignment horizontal="left" vertical="top" wrapText="1"/>
    </xf>
    <xf numFmtId="0" fontId="2" fillId="5" borderId="2" xfId="2" applyFont="1" applyFill="1" applyBorder="1" applyAlignment="1">
      <alignment horizontal="left" vertical="top" wrapText="1"/>
    </xf>
    <xf numFmtId="0" fontId="5" fillId="0" borderId="0" xfId="0" applyFont="1" applyAlignment="1">
      <alignment horizontal="left" wrapText="1"/>
    </xf>
    <xf numFmtId="0" fontId="17" fillId="0" borderId="1" xfId="0" applyFont="1" applyBorder="1" applyAlignment="1">
      <alignment horizontal="left" wrapText="1"/>
    </xf>
    <xf numFmtId="0" fontId="17" fillId="0" borderId="2" xfId="0" applyFont="1" applyBorder="1" applyAlignment="1">
      <alignment horizontal="left" wrapText="1"/>
    </xf>
    <xf numFmtId="0" fontId="17" fillId="0" borderId="3" xfId="0" applyFont="1" applyBorder="1" applyAlignment="1">
      <alignment horizontal="left" wrapText="1"/>
    </xf>
    <xf numFmtId="0" fontId="20" fillId="4" borderId="1" xfId="2" applyFont="1" applyFill="1" applyBorder="1" applyAlignment="1">
      <alignment horizontal="left" wrapText="1"/>
    </xf>
    <xf numFmtId="0" fontId="20" fillId="4" borderId="2" xfId="2" applyFont="1" applyFill="1" applyBorder="1" applyAlignment="1">
      <alignment horizontal="left" wrapText="1"/>
    </xf>
    <xf numFmtId="0" fontId="17" fillId="5" borderId="1" xfId="2" applyFont="1" applyFill="1" applyBorder="1" applyAlignment="1">
      <alignment horizontal="left" wrapText="1"/>
    </xf>
    <xf numFmtId="0" fontId="17" fillId="5" borderId="2" xfId="2" applyFont="1" applyFill="1" applyBorder="1" applyAlignment="1">
      <alignment horizontal="left" wrapText="1"/>
    </xf>
    <xf numFmtId="0" fontId="20" fillId="0" borderId="0" xfId="0" applyFont="1" applyAlignment="1">
      <alignment horizontal="left" wrapText="1"/>
    </xf>
    <xf numFmtId="0" fontId="8" fillId="5" borderId="1" xfId="2" applyFont="1" applyFill="1" applyBorder="1" applyAlignment="1">
      <alignment horizontal="left" vertical="top"/>
    </xf>
    <xf numFmtId="0" fontId="8" fillId="5" borderId="2" xfId="2" applyFont="1" applyFill="1" applyBorder="1" applyAlignment="1">
      <alignment horizontal="left" vertical="top"/>
    </xf>
    <xf numFmtId="0" fontId="8" fillId="5" borderId="1" xfId="2" applyFont="1" applyFill="1" applyBorder="1" applyAlignment="1">
      <alignment horizontal="left" wrapText="1"/>
    </xf>
    <xf numFmtId="0" fontId="8" fillId="5" borderId="2" xfId="2" applyFont="1" applyFill="1" applyBorder="1" applyAlignment="1">
      <alignment horizontal="left" wrapText="1"/>
    </xf>
    <xf numFmtId="0" fontId="16" fillId="4" borderId="1" xfId="2" applyFont="1" applyFill="1" applyBorder="1" applyAlignment="1">
      <alignment horizontal="left" wrapText="1"/>
    </xf>
    <xf numFmtId="0" fontId="16" fillId="4" borderId="2" xfId="2" applyFont="1" applyFill="1" applyBorder="1" applyAlignment="1">
      <alignment horizontal="left" wrapText="1"/>
    </xf>
    <xf numFmtId="0" fontId="8" fillId="5" borderId="1" xfId="2" applyFont="1" applyFill="1" applyBorder="1" applyAlignment="1">
      <alignment horizontal="left" vertical="top" wrapText="1"/>
    </xf>
    <xf numFmtId="0" fontId="8" fillId="5" borderId="2" xfId="2" applyFont="1" applyFill="1" applyBorder="1" applyAlignment="1">
      <alignment horizontal="left" vertical="top" wrapText="1"/>
    </xf>
    <xf numFmtId="0" fontId="2" fillId="5" borderId="1" xfId="2" applyFont="1" applyFill="1" applyBorder="1" applyAlignment="1">
      <alignment horizontal="left" wrapText="1"/>
    </xf>
    <xf numFmtId="0" fontId="2" fillId="5" borderId="2" xfId="2" applyFont="1" applyFill="1" applyBorder="1" applyAlignment="1">
      <alignment horizontal="left" wrapText="1"/>
    </xf>
    <xf numFmtId="0" fontId="8" fillId="5" borderId="29" xfId="2" applyFont="1" applyFill="1" applyBorder="1" applyAlignment="1">
      <alignment horizontal="left" wrapText="1"/>
    </xf>
    <xf numFmtId="0" fontId="8" fillId="5" borderId="30" xfId="2" applyFont="1" applyFill="1" applyBorder="1" applyAlignment="1">
      <alignment horizontal="left" wrapText="1"/>
    </xf>
    <xf numFmtId="0" fontId="2" fillId="5" borderId="13" xfId="2" applyFont="1" applyFill="1" applyBorder="1" applyAlignment="1">
      <alignment horizontal="left" wrapText="1"/>
    </xf>
  </cellXfs>
  <cellStyles count="5">
    <cellStyle name="Hyperlink" xfId="1" builtinId="8"/>
    <cellStyle name="Hyperlink 2" xfId="3" xr:uid="{00000000-0005-0000-0000-000001000000}"/>
    <cellStyle name="Normal" xfId="0" builtinId="0"/>
    <cellStyle name="Normal 2" xfId="4" xr:uid="{00000000-0005-0000-0000-000003000000}"/>
    <cellStyle name="Normal 9" xfId="2" xr:uid="{00000000-0005-0000-0000-000004000000}"/>
  </cellStyles>
  <dxfs count="25">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B1A0C7"/>
      <color rgb="FF78A6C7"/>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B1A0C7"/>
  </sheetPr>
  <dimension ref="A1:F23"/>
  <sheetViews>
    <sheetView tabSelected="1" zoomScaleNormal="100" workbookViewId="0"/>
  </sheetViews>
  <sheetFormatPr defaultColWidth="11.42578125" defaultRowHeight="12.75" x14ac:dyDescent="0.2"/>
  <cols>
    <col min="1" max="2" width="16.5703125" style="6" customWidth="1"/>
    <col min="3" max="3" width="67" style="6" customWidth="1"/>
    <col min="4" max="6" width="16.5703125" style="6" customWidth="1"/>
    <col min="7" max="16384" width="11.42578125" style="6"/>
  </cols>
  <sheetData>
    <row r="1" spans="1:6" ht="23.25" x14ac:dyDescent="0.35">
      <c r="A1" s="5" t="s">
        <v>0</v>
      </c>
    </row>
    <row r="2" spans="1:6" ht="18" x14ac:dyDescent="0.25">
      <c r="A2" s="7" t="s">
        <v>1</v>
      </c>
      <c r="B2" s="8"/>
      <c r="C2" s="8"/>
    </row>
    <row r="3" spans="1:6" x14ac:dyDescent="0.2">
      <c r="A3" s="9"/>
    </row>
    <row r="4" spans="1:6" ht="41.25" customHeight="1" x14ac:dyDescent="0.2">
      <c r="A4" s="150" t="s">
        <v>2</v>
      </c>
      <c r="B4" s="150"/>
      <c r="C4" s="150"/>
    </row>
    <row r="5" spans="1:6" ht="13.5" thickBot="1" x14ac:dyDescent="0.25">
      <c r="A5" s="70"/>
      <c r="B5" s="70"/>
      <c r="C5" s="70"/>
    </row>
    <row r="6" spans="1:6" ht="13.5" thickBot="1" x14ac:dyDescent="0.25">
      <c r="A6" s="71" t="s">
        <v>3</v>
      </c>
      <c r="B6" s="72"/>
      <c r="C6" s="73"/>
      <c r="D6" s="73"/>
      <c r="E6" s="73"/>
      <c r="F6" s="74"/>
    </row>
    <row r="7" spans="1:6" x14ac:dyDescent="0.2">
      <c r="A7" s="75"/>
      <c r="B7" s="151" t="s">
        <v>4</v>
      </c>
      <c r="C7" s="152"/>
      <c r="D7" s="152"/>
      <c r="E7" s="152"/>
      <c r="F7" s="153"/>
    </row>
    <row r="8" spans="1:6" x14ac:dyDescent="0.2">
      <c r="A8" s="76"/>
      <c r="B8" s="154" t="s">
        <v>229</v>
      </c>
      <c r="C8" s="155"/>
      <c r="D8" s="155"/>
      <c r="E8" s="155"/>
      <c r="F8" s="156"/>
    </row>
    <row r="9" spans="1:6" ht="31.5" customHeight="1" thickBot="1" x14ac:dyDescent="0.25">
      <c r="A9" s="77"/>
      <c r="B9" s="157" t="s">
        <v>5</v>
      </c>
      <c r="C9" s="158"/>
      <c r="D9" s="158"/>
      <c r="E9" s="158"/>
      <c r="F9" s="159"/>
    </row>
    <row r="11" spans="1:6" ht="15.75" x14ac:dyDescent="0.2">
      <c r="A11" s="79" t="s">
        <v>6</v>
      </c>
    </row>
    <row r="13" spans="1:6" x14ac:dyDescent="0.2">
      <c r="A13" s="6" t="s">
        <v>7</v>
      </c>
      <c r="B13" s="69">
        <v>45474</v>
      </c>
    </row>
    <row r="15" spans="1:6" ht="18" x14ac:dyDescent="0.2">
      <c r="A15" s="10" t="s">
        <v>8</v>
      </c>
      <c r="B15" s="11"/>
      <c r="C15" s="12"/>
      <c r="D15" s="13"/>
    </row>
    <row r="16" spans="1:6" ht="13.5" thickBot="1" x14ac:dyDescent="0.25">
      <c r="A16" s="14"/>
      <c r="B16" s="15"/>
      <c r="C16" s="16"/>
      <c r="D16" s="14"/>
    </row>
    <row r="17" spans="1:4" x14ac:dyDescent="0.2">
      <c r="A17" s="17" t="s">
        <v>9</v>
      </c>
      <c r="B17" s="18" t="s">
        <v>10</v>
      </c>
      <c r="C17" s="26" t="s">
        <v>11</v>
      </c>
    </row>
    <row r="18" spans="1:4" ht="12.75" customHeight="1" x14ac:dyDescent="0.2">
      <c r="A18" s="82" t="s">
        <v>12</v>
      </c>
      <c r="B18" s="83">
        <v>44390</v>
      </c>
      <c r="C18" s="27" t="s">
        <v>13</v>
      </c>
    </row>
    <row r="19" spans="1:4" ht="38.25" x14ac:dyDescent="0.2">
      <c r="A19" s="84" t="s">
        <v>14</v>
      </c>
      <c r="B19" s="85">
        <v>44586</v>
      </c>
      <c r="C19" s="88" t="s">
        <v>15</v>
      </c>
      <c r="D19" s="14"/>
    </row>
    <row r="20" spans="1:4" ht="25.5" customHeight="1" x14ac:dyDescent="0.2">
      <c r="A20" s="86" t="s">
        <v>16</v>
      </c>
      <c r="B20" s="87">
        <v>44740</v>
      </c>
      <c r="C20" s="89" t="s">
        <v>17</v>
      </c>
    </row>
    <row r="21" spans="1:4" ht="38.25" x14ac:dyDescent="0.2">
      <c r="A21" s="86" t="s">
        <v>18</v>
      </c>
      <c r="B21" s="87">
        <v>44964</v>
      </c>
      <c r="C21" s="89" t="s">
        <v>19</v>
      </c>
    </row>
    <row r="22" spans="1:4" ht="25.5" customHeight="1" x14ac:dyDescent="0.2">
      <c r="A22" s="86" t="s">
        <v>20</v>
      </c>
      <c r="B22" s="87">
        <v>45106</v>
      </c>
      <c r="C22" s="89" t="s">
        <v>21</v>
      </c>
    </row>
    <row r="23" spans="1:4" ht="64.5" thickBot="1" x14ac:dyDescent="0.25">
      <c r="A23" s="90" t="s">
        <v>22</v>
      </c>
      <c r="B23" s="91">
        <v>45474</v>
      </c>
      <c r="C23" s="92" t="s">
        <v>228</v>
      </c>
    </row>
  </sheetData>
  <mergeCells count="4">
    <mergeCell ref="A4:C4"/>
    <mergeCell ref="B7:F7"/>
    <mergeCell ref="B8:F8"/>
    <mergeCell ref="B9:F9"/>
  </mergeCells>
  <pageMargins left="0.74791666666666667" right="0.74791666666666667" top="0.98402777777777783" bottom="0.98402777777777783" header="0.51180555555555562" footer="0.5118055555555556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B1A0C7"/>
    <outlinePr summaryBelow="0" summaryRight="0"/>
  </sheetPr>
  <dimension ref="A1:I17"/>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5.140625" customWidth="1"/>
  </cols>
  <sheetData>
    <row r="1" spans="1:9" ht="28.5" customHeight="1" thickBot="1" x14ac:dyDescent="0.35">
      <c r="A1" s="19" t="s">
        <v>123</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27.2" customHeight="1" thickBot="1" x14ac:dyDescent="0.25">
      <c r="A3" s="160" t="s">
        <v>25</v>
      </c>
      <c r="B3" s="161"/>
      <c r="C3" s="161"/>
      <c r="D3" s="161"/>
      <c r="E3" s="161"/>
      <c r="F3" s="161"/>
      <c r="G3" s="161"/>
      <c r="H3" s="161"/>
      <c r="I3" s="161"/>
    </row>
    <row r="4" spans="1:9" s="4" customFormat="1" ht="30.75" customHeight="1" thickBot="1" x14ac:dyDescent="0.3">
      <c r="A4" s="37" t="s">
        <v>26</v>
      </c>
      <c r="B4" s="38" t="s">
        <v>27</v>
      </c>
      <c r="C4" s="37" t="s">
        <v>28</v>
      </c>
      <c r="D4" s="163" t="s">
        <v>29</v>
      </c>
      <c r="E4" s="164"/>
      <c r="F4" s="164"/>
      <c r="G4" s="164"/>
      <c r="H4" s="164"/>
      <c r="I4" s="39" t="s">
        <v>30</v>
      </c>
    </row>
    <row r="5" spans="1:9" s="4" customFormat="1" ht="80.45" customHeight="1" thickBot="1" x14ac:dyDescent="0.3">
      <c r="A5" s="24" t="s">
        <v>124</v>
      </c>
      <c r="B5" s="24">
        <v>42493</v>
      </c>
      <c r="C5" s="24" t="s">
        <v>32</v>
      </c>
      <c r="D5" s="178" t="s">
        <v>125</v>
      </c>
      <c r="E5" s="179"/>
      <c r="F5" s="179"/>
      <c r="G5" s="179"/>
      <c r="H5" s="179"/>
      <c r="I5" s="30" t="s">
        <v>126</v>
      </c>
    </row>
    <row r="6" spans="1:9" s="4" customFormat="1" ht="15" x14ac:dyDescent="0.25">
      <c r="A6" s="104" t="s">
        <v>127</v>
      </c>
      <c r="B6" s="104">
        <v>45454</v>
      </c>
      <c r="C6" s="104" t="s">
        <v>32</v>
      </c>
      <c r="D6" s="173" t="s">
        <v>128</v>
      </c>
      <c r="E6" s="174"/>
      <c r="F6" s="174"/>
      <c r="G6" s="174"/>
      <c r="H6" s="174"/>
      <c r="I6" s="96" t="s">
        <v>53</v>
      </c>
    </row>
    <row r="7" spans="1:9" s="4" customFormat="1" ht="15" x14ac:dyDescent="0.25">
      <c r="A7" s="35"/>
      <c r="B7" s="35"/>
      <c r="C7" s="35"/>
      <c r="D7" s="35"/>
      <c r="E7" s="35"/>
      <c r="F7" s="35"/>
      <c r="G7" s="35"/>
      <c r="H7" s="35"/>
      <c r="I7" s="35"/>
    </row>
    <row r="8" spans="1:9" ht="21" customHeight="1" x14ac:dyDescent="0.2">
      <c r="A8" s="167" t="s">
        <v>34</v>
      </c>
      <c r="B8" s="167"/>
      <c r="C8" s="31"/>
      <c r="D8" s="31"/>
      <c r="E8" s="32"/>
      <c r="F8" s="32"/>
      <c r="G8" s="32"/>
      <c r="H8" s="32"/>
      <c r="I8" s="31"/>
    </row>
    <row r="9" spans="1:9" ht="21" customHeight="1" x14ac:dyDescent="0.2">
      <c r="A9" s="97" t="s">
        <v>35</v>
      </c>
      <c r="B9" s="23"/>
      <c r="C9" s="25"/>
      <c r="D9" s="31"/>
      <c r="E9" s="32"/>
      <c r="F9" s="32"/>
      <c r="G9" s="32"/>
      <c r="H9" s="32"/>
      <c r="I9" s="31"/>
    </row>
    <row r="10" spans="1:9" s="2" customFormat="1" ht="24.75" customHeight="1" x14ac:dyDescent="0.2">
      <c r="A10" s="134" t="s">
        <v>36</v>
      </c>
      <c r="B10" s="134" t="s">
        <v>37</v>
      </c>
      <c r="C10" s="135" t="s">
        <v>38</v>
      </c>
      <c r="D10" s="128" t="s">
        <v>39</v>
      </c>
      <c r="E10" s="136" t="s">
        <v>1</v>
      </c>
      <c r="F10" s="128" t="s">
        <v>40</v>
      </c>
      <c r="G10" s="136" t="s">
        <v>41</v>
      </c>
      <c r="H10" s="136" t="s">
        <v>42</v>
      </c>
      <c r="I10" s="135" t="s">
        <v>43</v>
      </c>
    </row>
    <row r="11" spans="1:9" s="2" customFormat="1" ht="13.5" customHeight="1" x14ac:dyDescent="0.2">
      <c r="A11" s="105">
        <f>HYPERLINK("https://bluetooth.atlassian.net/browse/ES-6426",6426)</f>
        <v>6426</v>
      </c>
      <c r="B11" s="137" t="s">
        <v>129</v>
      </c>
      <c r="C11" s="137" t="s">
        <v>130</v>
      </c>
      <c r="D11" s="137" t="s">
        <v>65</v>
      </c>
      <c r="E11" s="138" t="s">
        <v>47</v>
      </c>
      <c r="F11" s="137"/>
      <c r="G11" s="105"/>
      <c r="H11" s="137"/>
      <c r="I11" s="137"/>
    </row>
    <row r="12" spans="1:9" s="2" customFormat="1" ht="25.5" x14ac:dyDescent="0.2">
      <c r="A12" s="112">
        <f>HYPERLINK("https://bluetooth.atlassian.net/browse/ES-16586",16586)</f>
        <v>16586</v>
      </c>
      <c r="B12" s="113" t="s">
        <v>124</v>
      </c>
      <c r="C12" s="113" t="s">
        <v>89</v>
      </c>
      <c r="D12" s="114" t="s">
        <v>58</v>
      </c>
      <c r="E12" s="115" t="s">
        <v>59</v>
      </c>
      <c r="F12" s="130">
        <v>4</v>
      </c>
      <c r="G12" s="131">
        <f>HYPERLINK("https://bluetooth.atlassian.net/browse/ES-17237",17237)</f>
        <v>17237</v>
      </c>
      <c r="H12" s="132" t="s">
        <v>60</v>
      </c>
      <c r="I12" s="113" t="s">
        <v>61</v>
      </c>
    </row>
    <row r="13" spans="1:9" s="2" customFormat="1" ht="13.5" customHeight="1" x14ac:dyDescent="0.2">
      <c r="A13" s="105">
        <f>HYPERLINK("https://bluetooth.atlassian.net/browse/ES-16587",16587)</f>
        <v>16587</v>
      </c>
      <c r="B13" s="106" t="s">
        <v>124</v>
      </c>
      <c r="C13" s="106" t="s">
        <v>45</v>
      </c>
      <c r="D13" s="106" t="s">
        <v>62</v>
      </c>
      <c r="E13" s="115" t="s">
        <v>59</v>
      </c>
      <c r="F13" s="108">
        <v>1</v>
      </c>
      <c r="G13" s="109">
        <f>HYPERLINK("https://bluetooth.atlassian.net/browse/ES-18101",18101)</f>
        <v>18101</v>
      </c>
      <c r="H13" s="110" t="s">
        <v>60</v>
      </c>
      <c r="I13" s="111" t="s">
        <v>63</v>
      </c>
    </row>
    <row r="14" spans="1:9" s="2" customFormat="1" ht="13.5" customHeight="1" x14ac:dyDescent="0.2">
      <c r="A14" s="112">
        <f>HYPERLINK("https://bluetooth.atlassian.net/browse/ES-18745",18745)</f>
        <v>18745</v>
      </c>
      <c r="B14" s="113" t="s">
        <v>124</v>
      </c>
      <c r="C14" s="113" t="s">
        <v>64</v>
      </c>
      <c r="D14" s="113" t="s">
        <v>65</v>
      </c>
      <c r="E14" s="115" t="s">
        <v>47</v>
      </c>
      <c r="F14" s="121"/>
      <c r="G14" s="122"/>
      <c r="H14" s="122"/>
      <c r="I14" s="123"/>
    </row>
    <row r="15" spans="1:9" s="2" customFormat="1" ht="25.5" x14ac:dyDescent="0.2">
      <c r="A15" s="105">
        <f>HYPERLINK("https://bluetooth.atlassian.net/browse/ES-18971",18971)</f>
        <v>18971</v>
      </c>
      <c r="B15" s="106" t="s">
        <v>124</v>
      </c>
      <c r="C15" s="106" t="s">
        <v>66</v>
      </c>
      <c r="D15" s="120" t="s">
        <v>65</v>
      </c>
      <c r="E15" s="107" t="s">
        <v>47</v>
      </c>
      <c r="F15" s="124"/>
      <c r="G15" s="105"/>
      <c r="H15" s="106"/>
      <c r="I15" s="106"/>
    </row>
    <row r="16" spans="1:9" s="2" customFormat="1" ht="25.5" x14ac:dyDescent="0.2">
      <c r="A16" s="112">
        <f>HYPERLINK("https://bluetooth.atlassian.net/browse/ES-22592",22592)</f>
        <v>22592</v>
      </c>
      <c r="B16" s="113" t="s">
        <v>124</v>
      </c>
      <c r="C16" s="113" t="s">
        <v>131</v>
      </c>
      <c r="D16" s="113" t="s">
        <v>65</v>
      </c>
      <c r="E16" s="115" t="s">
        <v>47</v>
      </c>
      <c r="F16" s="130"/>
      <c r="G16" s="131"/>
      <c r="H16" s="132"/>
      <c r="I16" s="113"/>
    </row>
    <row r="17" spans="1:9" s="2" customFormat="1" ht="25.5" x14ac:dyDescent="0.2">
      <c r="A17" s="105">
        <f>HYPERLINK("https://bluetooth.atlassian.net/browse/ES-23313",23313)</f>
        <v>23313</v>
      </c>
      <c r="B17" s="106" t="s">
        <v>124</v>
      </c>
      <c r="C17" s="106" t="s">
        <v>68</v>
      </c>
      <c r="D17" s="120" t="s">
        <v>65</v>
      </c>
      <c r="E17" s="107" t="s">
        <v>47</v>
      </c>
      <c r="F17" s="124"/>
      <c r="G17" s="105"/>
      <c r="H17" s="106"/>
      <c r="I17" s="106"/>
    </row>
  </sheetData>
  <mergeCells count="6">
    <mergeCell ref="A2:I2"/>
    <mergeCell ref="A3:I3"/>
    <mergeCell ref="D4:H4"/>
    <mergeCell ref="D5:H5"/>
    <mergeCell ref="A8:B8"/>
    <mergeCell ref="D6:H6"/>
  </mergeCells>
  <conditionalFormatting sqref="E11:E17">
    <cfRule type="cellIs" dxfId="16" priority="1" operator="notEqual">
      <formula>"No"</formula>
    </cfRule>
  </conditionalFormatting>
  <dataValidations count="1">
    <dataValidation type="list" allowBlank="1" sqref="E10:H17" xr:uid="{00000000-0002-0000-0800-000000000000}">
      <formula1>#REF!</formula1>
    </dataValidation>
  </dataValidation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0DCEA-DF99-4F3A-A752-2C237BEBA2C4}">
  <sheetPr>
    <tabColor rgb="FFB1A0C7"/>
    <outlinePr summaryBelow="0" summaryRight="0"/>
  </sheetPr>
  <dimension ref="A1:I15"/>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6.42578125" customWidth="1"/>
  </cols>
  <sheetData>
    <row r="1" spans="1:9" ht="28.5" customHeight="1" thickBot="1" x14ac:dyDescent="0.35">
      <c r="A1" s="95" t="s">
        <v>132</v>
      </c>
      <c r="B1" s="25"/>
      <c r="C1" s="31"/>
      <c r="D1" s="31"/>
      <c r="E1" s="32"/>
      <c r="F1" s="32"/>
      <c r="G1" s="32"/>
      <c r="H1" s="32"/>
      <c r="I1" s="31"/>
    </row>
    <row r="2" spans="1:9" ht="66.75" customHeight="1" thickBot="1" x14ac:dyDescent="0.25">
      <c r="A2" s="168" t="s">
        <v>49</v>
      </c>
      <c r="B2" s="169"/>
      <c r="C2" s="169"/>
      <c r="D2" s="169"/>
      <c r="E2" s="169"/>
      <c r="F2" s="169"/>
      <c r="G2" s="169"/>
      <c r="H2" s="169"/>
      <c r="I2" s="170"/>
    </row>
    <row r="3" spans="1:9" ht="51.95" customHeight="1" thickBot="1" x14ac:dyDescent="0.25">
      <c r="A3" s="168" t="s">
        <v>25</v>
      </c>
      <c r="B3" s="169"/>
      <c r="C3" s="169"/>
      <c r="D3" s="169"/>
      <c r="E3" s="169"/>
      <c r="F3" s="169"/>
      <c r="G3" s="169"/>
      <c r="H3" s="169"/>
      <c r="I3" s="169"/>
    </row>
    <row r="4" spans="1:9" s="4" customFormat="1" ht="27" thickBot="1" x14ac:dyDescent="0.3">
      <c r="A4" s="98" t="s">
        <v>50</v>
      </c>
      <c r="B4" s="99" t="s">
        <v>27</v>
      </c>
      <c r="C4" s="98" t="s">
        <v>28</v>
      </c>
      <c r="D4" s="171" t="s">
        <v>29</v>
      </c>
      <c r="E4" s="172"/>
      <c r="F4" s="172"/>
      <c r="G4" s="172"/>
      <c r="H4" s="172"/>
      <c r="I4" s="100" t="s">
        <v>30</v>
      </c>
    </row>
    <row r="5" spans="1:9" s="4" customFormat="1" ht="15" x14ac:dyDescent="0.25">
      <c r="A5" s="104" t="s">
        <v>133</v>
      </c>
      <c r="B5" s="104">
        <v>45454</v>
      </c>
      <c r="C5" s="104" t="s">
        <v>32</v>
      </c>
      <c r="D5" s="173" t="s">
        <v>134</v>
      </c>
      <c r="E5" s="174"/>
      <c r="F5" s="174"/>
      <c r="G5" s="174"/>
      <c r="H5" s="174"/>
      <c r="I5" s="96" t="s">
        <v>53</v>
      </c>
    </row>
    <row r="6" spans="1:9" s="4" customFormat="1" ht="15" x14ac:dyDescent="0.25">
      <c r="A6" s="35"/>
      <c r="B6" s="35"/>
      <c r="C6" s="35"/>
      <c r="D6" s="35"/>
      <c r="E6" s="35"/>
      <c r="F6" s="35"/>
      <c r="G6" s="35"/>
      <c r="H6" s="35"/>
      <c r="I6" s="35"/>
    </row>
    <row r="7" spans="1:9" ht="21" customHeight="1" x14ac:dyDescent="0.2">
      <c r="A7" s="175" t="s">
        <v>34</v>
      </c>
      <c r="B7" s="175"/>
      <c r="C7" s="126"/>
      <c r="D7" s="126"/>
      <c r="E7" s="101"/>
      <c r="F7" s="101"/>
      <c r="G7" s="101"/>
      <c r="H7" s="101"/>
      <c r="I7" s="126"/>
    </row>
    <row r="8" spans="1:9" ht="21" customHeight="1" x14ac:dyDescent="0.2">
      <c r="A8" s="97" t="s">
        <v>54</v>
      </c>
      <c r="B8" s="102"/>
      <c r="C8" s="97"/>
      <c r="D8" s="126"/>
      <c r="E8" s="101"/>
      <c r="F8" s="101"/>
      <c r="G8" s="101"/>
      <c r="H8" s="101"/>
      <c r="I8" s="126"/>
    </row>
    <row r="9" spans="1:9" s="2" customFormat="1" ht="27" customHeight="1" x14ac:dyDescent="0.2">
      <c r="A9" s="127" t="s">
        <v>36</v>
      </c>
      <c r="B9" s="127" t="s">
        <v>37</v>
      </c>
      <c r="C9" s="128" t="s">
        <v>38</v>
      </c>
      <c r="D9" s="128" t="s">
        <v>39</v>
      </c>
      <c r="E9" s="129" t="s">
        <v>1</v>
      </c>
      <c r="F9" s="128" t="s">
        <v>55</v>
      </c>
      <c r="G9" s="129" t="s">
        <v>41</v>
      </c>
      <c r="H9" s="129" t="s">
        <v>42</v>
      </c>
      <c r="I9" s="128" t="s">
        <v>43</v>
      </c>
    </row>
    <row r="10" spans="1:9" s="2" customFormat="1" ht="17.25" customHeight="1" x14ac:dyDescent="0.2">
      <c r="A10" s="105">
        <f>HYPERLINK("https://bluetooth.atlassian.net/browse/ES-15783",15783)</f>
        <v>15783</v>
      </c>
      <c r="B10" s="106" t="s">
        <v>135</v>
      </c>
      <c r="C10" s="106" t="s">
        <v>104</v>
      </c>
      <c r="D10" s="106" t="s">
        <v>65</v>
      </c>
      <c r="E10" s="133" t="s">
        <v>59</v>
      </c>
      <c r="F10" s="124">
        <v>1</v>
      </c>
      <c r="G10" s="105">
        <f>HYPERLINK("https://bluetooth.atlassian.net/browse/ES-18589",18589)</f>
        <v>18589</v>
      </c>
      <c r="H10" s="106" t="s">
        <v>60</v>
      </c>
      <c r="I10" s="106" t="s">
        <v>120</v>
      </c>
    </row>
    <row r="11" spans="1:9" s="2" customFormat="1" ht="25.5" x14ac:dyDescent="0.2">
      <c r="A11" s="112">
        <f>HYPERLINK("https://bluetooth.atlassian.net/browse/ES-17169",17169)</f>
        <v>17169</v>
      </c>
      <c r="B11" s="113" t="s">
        <v>135</v>
      </c>
      <c r="C11" s="113" t="s">
        <v>89</v>
      </c>
      <c r="D11" s="114" t="s">
        <v>58</v>
      </c>
      <c r="E11" s="115" t="s">
        <v>59</v>
      </c>
      <c r="F11" s="130">
        <v>4</v>
      </c>
      <c r="G11" s="131">
        <f>HYPERLINK("https://bluetooth.atlassian.net/browse/ES-17238",17238)</f>
        <v>17238</v>
      </c>
      <c r="H11" s="132" t="s">
        <v>60</v>
      </c>
      <c r="I11" s="113" t="s">
        <v>61</v>
      </c>
    </row>
    <row r="12" spans="1:9" s="2" customFormat="1" ht="13.5" customHeight="1" x14ac:dyDescent="0.2">
      <c r="A12" s="105">
        <f>HYPERLINK("https://bluetooth.atlassian.net/browse/ES-18746",18746)</f>
        <v>18746</v>
      </c>
      <c r="B12" s="106" t="s">
        <v>135</v>
      </c>
      <c r="C12" s="106" t="s">
        <v>64</v>
      </c>
      <c r="D12" s="106" t="s">
        <v>65</v>
      </c>
      <c r="E12" s="107" t="s">
        <v>47</v>
      </c>
      <c r="F12" s="124"/>
      <c r="G12" s="105"/>
      <c r="H12" s="106"/>
      <c r="I12" s="106"/>
    </row>
    <row r="13" spans="1:9" s="2" customFormat="1" ht="13.5" customHeight="1" x14ac:dyDescent="0.2">
      <c r="A13" s="112">
        <f>HYPERLINK("https://bluetooth.atlassian.net/browse/ES-18979",18979)</f>
        <v>18979</v>
      </c>
      <c r="B13" s="113" t="s">
        <v>135</v>
      </c>
      <c r="C13" s="113" t="s">
        <v>66</v>
      </c>
      <c r="D13" s="113" t="s">
        <v>65</v>
      </c>
      <c r="E13" s="115" t="s">
        <v>47</v>
      </c>
      <c r="F13" s="121"/>
      <c r="G13" s="122"/>
      <c r="H13" s="122"/>
      <c r="I13" s="123"/>
    </row>
    <row r="14" spans="1:9" s="2" customFormat="1" ht="25.5" x14ac:dyDescent="0.2">
      <c r="A14" s="105">
        <f>HYPERLINK("https://bluetooth.atlassian.net/browse/ES-22314",22314)</f>
        <v>22314</v>
      </c>
      <c r="B14" s="106" t="s">
        <v>135</v>
      </c>
      <c r="C14" s="106" t="s">
        <v>121</v>
      </c>
      <c r="D14" s="106" t="s">
        <v>65</v>
      </c>
      <c r="E14" s="107" t="s">
        <v>47</v>
      </c>
      <c r="F14" s="124"/>
      <c r="G14" s="105"/>
      <c r="H14" s="106"/>
      <c r="I14" s="106"/>
    </row>
    <row r="15" spans="1:9" s="2" customFormat="1" ht="25.5" x14ac:dyDescent="0.2">
      <c r="A15" s="112">
        <f>HYPERLINK("https://bluetooth.atlassian.net/browse/ES-23323",23323)</f>
        <v>23323</v>
      </c>
      <c r="B15" s="113" t="s">
        <v>135</v>
      </c>
      <c r="C15" s="113" t="s">
        <v>68</v>
      </c>
      <c r="D15" s="113" t="s">
        <v>65</v>
      </c>
      <c r="E15" s="115" t="s">
        <v>47</v>
      </c>
      <c r="F15" s="121"/>
      <c r="G15" s="122"/>
      <c r="H15" s="122"/>
      <c r="I15" s="123"/>
    </row>
  </sheetData>
  <mergeCells count="5">
    <mergeCell ref="A2:I2"/>
    <mergeCell ref="A3:I3"/>
    <mergeCell ref="D4:H4"/>
    <mergeCell ref="A7:B7"/>
    <mergeCell ref="D5:H5"/>
  </mergeCells>
  <conditionalFormatting sqref="E10:E15">
    <cfRule type="cellIs" dxfId="15" priority="1" operator="notEqual">
      <formula>"No"</formula>
    </cfRule>
  </conditionalFormatting>
  <dataValidations count="1">
    <dataValidation type="list" allowBlank="1" sqref="E9:H9 H10 F11:H15 F10 E10:E15" xr:uid="{90F3441D-41AF-439F-943A-A66ABCA3BAC4}">
      <formula1>#REF!</formula1>
    </dataValidation>
  </dataValidations>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A0F1E-E1D6-469C-B5E1-6FABCAA43914}">
  <sheetPr>
    <tabColor rgb="FFB1A0C7"/>
    <outlinePr summaryBelow="0" summaryRight="0"/>
  </sheetPr>
  <dimension ref="A1:I14"/>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5.140625" customWidth="1"/>
  </cols>
  <sheetData>
    <row r="1" spans="1:9" ht="28.5" customHeight="1" thickBot="1" x14ac:dyDescent="0.35">
      <c r="A1" s="95" t="s">
        <v>136</v>
      </c>
      <c r="B1" s="25"/>
      <c r="C1" s="31"/>
      <c r="D1" s="31"/>
      <c r="E1" s="32"/>
      <c r="F1" s="32"/>
      <c r="G1" s="32"/>
      <c r="H1" s="32"/>
      <c r="I1" s="31"/>
    </row>
    <row r="2" spans="1:9" ht="69.95" customHeight="1" thickBot="1" x14ac:dyDescent="0.25">
      <c r="A2" s="168" t="s">
        <v>49</v>
      </c>
      <c r="B2" s="169"/>
      <c r="C2" s="169"/>
      <c r="D2" s="169"/>
      <c r="E2" s="169"/>
      <c r="F2" s="169"/>
      <c r="G2" s="169"/>
      <c r="H2" s="169"/>
      <c r="I2" s="170"/>
    </row>
    <row r="3" spans="1:9" ht="27.2" customHeight="1" thickBot="1" x14ac:dyDescent="0.25">
      <c r="A3" s="168" t="s">
        <v>25</v>
      </c>
      <c r="B3" s="169"/>
      <c r="C3" s="169"/>
      <c r="D3" s="169"/>
      <c r="E3" s="169"/>
      <c r="F3" s="169"/>
      <c r="G3" s="169"/>
      <c r="H3" s="169"/>
      <c r="I3" s="169"/>
    </row>
    <row r="4" spans="1:9" s="4" customFormat="1" ht="30.75" customHeight="1" thickBot="1" x14ac:dyDescent="0.3">
      <c r="A4" s="98" t="s">
        <v>50</v>
      </c>
      <c r="B4" s="99" t="s">
        <v>27</v>
      </c>
      <c r="C4" s="98" t="s">
        <v>28</v>
      </c>
      <c r="D4" s="171" t="s">
        <v>29</v>
      </c>
      <c r="E4" s="172"/>
      <c r="F4" s="172"/>
      <c r="G4" s="172"/>
      <c r="H4" s="172"/>
      <c r="I4" s="100" t="s">
        <v>30</v>
      </c>
    </row>
    <row r="5" spans="1:9" s="4" customFormat="1" ht="15" x14ac:dyDescent="0.25">
      <c r="A5" s="104" t="s">
        <v>137</v>
      </c>
      <c r="B5" s="104">
        <v>45454</v>
      </c>
      <c r="C5" s="104" t="s">
        <v>32</v>
      </c>
      <c r="D5" s="173" t="s">
        <v>138</v>
      </c>
      <c r="E5" s="174"/>
      <c r="F5" s="174"/>
      <c r="G5" s="174"/>
      <c r="H5" s="174"/>
      <c r="I5" s="96" t="s">
        <v>53</v>
      </c>
    </row>
    <row r="6" spans="1:9" s="4" customFormat="1" ht="15" x14ac:dyDescent="0.25">
      <c r="A6" s="125"/>
      <c r="B6" s="125"/>
      <c r="C6" s="125"/>
      <c r="D6" s="125"/>
      <c r="E6" s="125"/>
      <c r="F6" s="125"/>
      <c r="G6" s="125"/>
      <c r="H6" s="125"/>
      <c r="I6" s="125"/>
    </row>
    <row r="7" spans="1:9" ht="21" customHeight="1" x14ac:dyDescent="0.2">
      <c r="A7" s="175" t="s">
        <v>34</v>
      </c>
      <c r="B7" s="175"/>
      <c r="C7" s="126"/>
      <c r="D7" s="126"/>
      <c r="E7" s="101"/>
      <c r="F7" s="101"/>
      <c r="G7" s="101"/>
      <c r="H7" s="101"/>
      <c r="I7" s="126"/>
    </row>
    <row r="8" spans="1:9" ht="21" customHeight="1" x14ac:dyDescent="0.2">
      <c r="A8" s="97" t="s">
        <v>54</v>
      </c>
      <c r="B8" s="102"/>
      <c r="C8" s="97"/>
      <c r="D8" s="126"/>
      <c r="E8" s="101"/>
      <c r="F8" s="101"/>
      <c r="G8" s="101"/>
      <c r="H8" s="101"/>
      <c r="I8" s="126"/>
    </row>
    <row r="9" spans="1:9" s="2" customFormat="1" ht="24.75" customHeight="1" x14ac:dyDescent="0.2">
      <c r="A9" s="127" t="s">
        <v>36</v>
      </c>
      <c r="B9" s="127" t="s">
        <v>37</v>
      </c>
      <c r="C9" s="128" t="s">
        <v>38</v>
      </c>
      <c r="D9" s="128" t="s">
        <v>39</v>
      </c>
      <c r="E9" s="129" t="s">
        <v>1</v>
      </c>
      <c r="F9" s="128" t="s">
        <v>55</v>
      </c>
      <c r="G9" s="129" t="s">
        <v>41</v>
      </c>
      <c r="H9" s="129" t="s">
        <v>42</v>
      </c>
      <c r="I9" s="128" t="s">
        <v>43</v>
      </c>
    </row>
    <row r="10" spans="1:9" s="2" customFormat="1" ht="40.5" customHeight="1" x14ac:dyDescent="0.2">
      <c r="A10" s="105">
        <f>HYPERLINK("https://bluetooth.atlassian.net/browse/ES-16574",16574)</f>
        <v>16574</v>
      </c>
      <c r="B10" s="106" t="s">
        <v>139</v>
      </c>
      <c r="C10" s="106" t="s">
        <v>45</v>
      </c>
      <c r="D10" s="106" t="s">
        <v>62</v>
      </c>
      <c r="E10" s="115" t="s">
        <v>59</v>
      </c>
      <c r="F10" s="108">
        <v>1</v>
      </c>
      <c r="G10" s="109">
        <f>HYPERLINK("https://bluetooth.atlassian.net/browse/ES-18101",18101)</f>
        <v>18101</v>
      </c>
      <c r="H10" s="110" t="s">
        <v>60</v>
      </c>
      <c r="I10" s="111" t="s">
        <v>63</v>
      </c>
    </row>
    <row r="11" spans="1:9" s="2" customFormat="1" ht="30" customHeight="1" x14ac:dyDescent="0.2">
      <c r="A11" s="112">
        <f>HYPERLINK("https://bluetooth.atlassian.net/browse/ES-16649",16649)</f>
        <v>16649</v>
      </c>
      <c r="B11" s="113" t="s">
        <v>139</v>
      </c>
      <c r="C11" s="114" t="s">
        <v>89</v>
      </c>
      <c r="D11" s="114" t="s">
        <v>58</v>
      </c>
      <c r="E11" s="115" t="s">
        <v>59</v>
      </c>
      <c r="F11" s="130">
        <v>4</v>
      </c>
      <c r="G11" s="131">
        <f>HYPERLINK("https://bluetooth.atlassian.net/browse/ES-17239",17239)</f>
        <v>17239</v>
      </c>
      <c r="H11" s="132" t="s">
        <v>60</v>
      </c>
      <c r="I11" s="113" t="s">
        <v>61</v>
      </c>
    </row>
    <row r="12" spans="1:9" s="2" customFormat="1" ht="17.25" customHeight="1" x14ac:dyDescent="0.2">
      <c r="A12" s="105">
        <f>HYPERLINK("https://bluetooth.atlassian.net/browse/ES-18747",18747)</f>
        <v>18747</v>
      </c>
      <c r="B12" s="106" t="s">
        <v>139</v>
      </c>
      <c r="C12" s="106" t="s">
        <v>64</v>
      </c>
      <c r="D12" s="120" t="s">
        <v>65</v>
      </c>
      <c r="E12" s="107" t="s">
        <v>47</v>
      </c>
      <c r="F12" s="108"/>
      <c r="G12" s="109"/>
      <c r="H12" s="110"/>
      <c r="I12" s="111"/>
    </row>
    <row r="13" spans="1:9" s="2" customFormat="1" ht="25.5" x14ac:dyDescent="0.2">
      <c r="A13" s="112">
        <f>HYPERLINK("https://bluetooth.atlassian.net/browse/ES-22315",22315)</f>
        <v>22315</v>
      </c>
      <c r="B13" s="113" t="s">
        <v>139</v>
      </c>
      <c r="C13" s="113" t="s">
        <v>140</v>
      </c>
      <c r="D13" s="113" t="s">
        <v>65</v>
      </c>
      <c r="E13" s="115" t="s">
        <v>47</v>
      </c>
      <c r="F13" s="121"/>
      <c r="G13" s="122"/>
      <c r="H13" s="122"/>
      <c r="I13" s="123"/>
    </row>
    <row r="14" spans="1:9" s="2" customFormat="1" ht="25.5" x14ac:dyDescent="0.2">
      <c r="A14" s="105">
        <f>HYPERLINK("https://bluetooth.atlassian.net/browse/ES-23314",23314)</f>
        <v>23314</v>
      </c>
      <c r="B14" s="106" t="s">
        <v>139</v>
      </c>
      <c r="C14" s="106" t="s">
        <v>68</v>
      </c>
      <c r="D14" s="120" t="s">
        <v>65</v>
      </c>
      <c r="E14" s="107" t="s">
        <v>47</v>
      </c>
      <c r="F14" s="124"/>
      <c r="G14" s="105"/>
      <c r="H14" s="106"/>
      <c r="I14" s="106"/>
    </row>
  </sheetData>
  <mergeCells count="5">
    <mergeCell ref="A2:I2"/>
    <mergeCell ref="A3:I3"/>
    <mergeCell ref="D4:H4"/>
    <mergeCell ref="A7:B7"/>
    <mergeCell ref="D5:H5"/>
  </mergeCells>
  <conditionalFormatting sqref="E10:E14">
    <cfRule type="cellIs" dxfId="14" priority="1" operator="notEqual">
      <formula>"No"</formula>
    </cfRule>
  </conditionalFormatting>
  <dataValidations disablePrompts="1" count="1">
    <dataValidation type="list" allowBlank="1" sqref="E9:H14" xr:uid="{6C74EF94-7C0F-4F42-ADDB-71681F1E9E37}">
      <formula1>#REF!</formula1>
    </dataValidation>
  </dataValidations>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I12"/>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5.85546875" customWidth="1"/>
  </cols>
  <sheetData>
    <row r="1" spans="1:9" ht="28.5" customHeight="1" thickBot="1" x14ac:dyDescent="0.35">
      <c r="A1" s="19" t="s">
        <v>141</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30" customHeight="1" thickBot="1" x14ac:dyDescent="0.3">
      <c r="A4" s="37" t="s">
        <v>26</v>
      </c>
      <c r="B4" s="38" t="s">
        <v>27</v>
      </c>
      <c r="C4" s="37" t="s">
        <v>28</v>
      </c>
      <c r="D4" s="163" t="s">
        <v>29</v>
      </c>
      <c r="E4" s="164"/>
      <c r="F4" s="164"/>
      <c r="G4" s="164"/>
      <c r="H4" s="164"/>
      <c r="I4" s="39" t="s">
        <v>30</v>
      </c>
    </row>
    <row r="5" spans="1:9" s="4" customFormat="1" ht="66.599999999999994" customHeight="1" thickBot="1" x14ac:dyDescent="0.3">
      <c r="A5" s="24" t="s">
        <v>142</v>
      </c>
      <c r="B5" s="24">
        <v>41919</v>
      </c>
      <c r="C5" s="24" t="s">
        <v>32</v>
      </c>
      <c r="D5" s="178" t="s">
        <v>143</v>
      </c>
      <c r="E5" s="179"/>
      <c r="F5" s="179"/>
      <c r="G5" s="179"/>
      <c r="H5" s="179"/>
      <c r="I5" s="30" t="s">
        <v>144</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27.6" customHeight="1" thickBot="1" x14ac:dyDescent="0.25">
      <c r="A10" s="36">
        <f>HYPERLINK("https://bluetooth.atlassian.net/browse/ES-5450",5450)</f>
        <v>5450</v>
      </c>
      <c r="B10" s="28" t="s">
        <v>145</v>
      </c>
      <c r="C10" s="28" t="s">
        <v>146</v>
      </c>
      <c r="D10" s="28" t="s">
        <v>80</v>
      </c>
      <c r="E10" s="29" t="s">
        <v>47</v>
      </c>
      <c r="F10" s="28"/>
      <c r="G10" s="36"/>
      <c r="H10" s="28"/>
      <c r="I10" s="28"/>
    </row>
    <row r="11" spans="1:9" ht="15.75" customHeight="1" x14ac:dyDescent="0.2">
      <c r="A11" s="43"/>
      <c r="B11" s="43"/>
      <c r="C11" s="44"/>
      <c r="D11" s="44"/>
      <c r="E11" s="45"/>
      <c r="F11" s="45"/>
      <c r="G11" s="45"/>
      <c r="H11" s="45"/>
      <c r="I11" s="44"/>
    </row>
    <row r="12" spans="1:9" ht="15.75" customHeight="1" x14ac:dyDescent="0.2">
      <c r="A12" s="20"/>
      <c r="B12" s="20"/>
      <c r="C12" s="21"/>
      <c r="D12" s="21"/>
      <c r="E12" s="22"/>
      <c r="F12" s="22"/>
      <c r="G12" s="22"/>
      <c r="H12" s="22"/>
      <c r="I12" s="21"/>
    </row>
  </sheetData>
  <mergeCells count="5">
    <mergeCell ref="A2:I2"/>
    <mergeCell ref="A3:I3"/>
    <mergeCell ref="D4:H4"/>
    <mergeCell ref="D5:H5"/>
    <mergeCell ref="A7:B7"/>
  </mergeCells>
  <conditionalFormatting sqref="E10">
    <cfRule type="cellIs" dxfId="13" priority="1" operator="notEqual">
      <formula>"No"</formula>
    </cfRule>
  </conditionalFormatting>
  <dataValidations count="1">
    <dataValidation type="list" allowBlank="1" sqref="E9:H10" xr:uid="{00000000-0002-0000-0900-000000000000}">
      <formula1>#REF!</formula1>
    </dataValidation>
  </dataValidations>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I22"/>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6.28515625" customWidth="1"/>
  </cols>
  <sheetData>
    <row r="1" spans="1:9" ht="28.5" customHeight="1" thickBot="1" x14ac:dyDescent="0.35">
      <c r="A1" s="19" t="s">
        <v>147</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4" customFormat="1" ht="78.95" customHeight="1" x14ac:dyDescent="0.25">
      <c r="A5" s="80" t="s">
        <v>148</v>
      </c>
      <c r="B5" s="80">
        <v>40876</v>
      </c>
      <c r="C5" s="80" t="s">
        <v>32</v>
      </c>
      <c r="D5" s="186" t="s">
        <v>74</v>
      </c>
      <c r="E5" s="187"/>
      <c r="F5" s="187"/>
      <c r="G5" s="187"/>
      <c r="H5" s="187"/>
      <c r="I5" s="81" t="s">
        <v>149</v>
      </c>
    </row>
    <row r="6" spans="1:9" s="4" customFormat="1" ht="78.95" customHeight="1" thickBot="1" x14ac:dyDescent="0.3">
      <c r="A6" s="93" t="s">
        <v>150</v>
      </c>
      <c r="B6" s="93">
        <v>45098</v>
      </c>
      <c r="C6" s="93" t="s">
        <v>32</v>
      </c>
      <c r="D6" s="188" t="s">
        <v>151</v>
      </c>
      <c r="E6" s="188"/>
      <c r="F6" s="188"/>
      <c r="G6" s="188"/>
      <c r="H6" s="188"/>
      <c r="I6" s="94" t="s">
        <v>152</v>
      </c>
    </row>
    <row r="7" spans="1:9" s="4" customFormat="1" ht="15" x14ac:dyDescent="0.25">
      <c r="A7" s="35"/>
      <c r="B7" s="35"/>
      <c r="C7" s="35"/>
      <c r="D7" s="35"/>
      <c r="E7" s="35"/>
      <c r="F7" s="35"/>
      <c r="G7" s="35"/>
      <c r="H7" s="35"/>
      <c r="I7" s="35"/>
    </row>
    <row r="8" spans="1:9" ht="21" customHeight="1" x14ac:dyDescent="0.2">
      <c r="A8" s="167" t="s">
        <v>34</v>
      </c>
      <c r="B8" s="167"/>
      <c r="C8" s="31"/>
      <c r="D8" s="31"/>
      <c r="E8" s="32"/>
      <c r="F8" s="32"/>
      <c r="G8" s="32"/>
      <c r="H8" s="32"/>
      <c r="I8" s="31"/>
    </row>
    <row r="9" spans="1:9" ht="21" customHeight="1" thickBot="1" x14ac:dyDescent="0.25">
      <c r="A9" s="97" t="s">
        <v>35</v>
      </c>
      <c r="B9" s="23"/>
      <c r="C9" s="25"/>
      <c r="D9" s="31"/>
      <c r="E9" s="32"/>
      <c r="F9" s="32"/>
      <c r="G9" s="32"/>
      <c r="H9" s="32"/>
      <c r="I9" s="31"/>
    </row>
    <row r="10" spans="1:9" s="2" customFormat="1" ht="30.75" customHeight="1" thickBot="1" x14ac:dyDescent="0.25">
      <c r="A10" s="134" t="s">
        <v>36</v>
      </c>
      <c r="B10" s="134" t="s">
        <v>37</v>
      </c>
      <c r="C10" s="135" t="s">
        <v>38</v>
      </c>
      <c r="D10" s="128" t="s">
        <v>39</v>
      </c>
      <c r="E10" s="136" t="s">
        <v>1</v>
      </c>
      <c r="F10" s="128" t="s">
        <v>40</v>
      </c>
      <c r="G10" s="136" t="s">
        <v>41</v>
      </c>
      <c r="H10" s="136" t="s">
        <v>42</v>
      </c>
      <c r="I10" s="135" t="s">
        <v>43</v>
      </c>
    </row>
    <row r="11" spans="1:9" ht="26.25" thickBot="1" x14ac:dyDescent="0.25">
      <c r="A11" s="36">
        <f>HYPERLINK("https://bluetooth.atlassian.net/browse/ES-6237",6237)</f>
        <v>6237</v>
      </c>
      <c r="B11" s="61" t="s">
        <v>153</v>
      </c>
      <c r="C11" s="61" t="s">
        <v>154</v>
      </c>
      <c r="D11" s="61" t="s">
        <v>80</v>
      </c>
      <c r="E11" s="67" t="s">
        <v>47</v>
      </c>
      <c r="F11" s="66"/>
      <c r="G11" s="36"/>
      <c r="H11" s="61"/>
      <c r="I11" s="61"/>
    </row>
    <row r="12" spans="1:9" ht="39" thickBot="1" x14ac:dyDescent="0.25">
      <c r="A12" s="47">
        <f>HYPERLINK("https://bluetooth.atlassian.net/browse/ES-6238",6238)</f>
        <v>6238</v>
      </c>
      <c r="B12" s="59" t="s">
        <v>153</v>
      </c>
      <c r="C12" s="59" t="s">
        <v>155</v>
      </c>
      <c r="D12" s="59" t="s">
        <v>80</v>
      </c>
      <c r="E12" s="60" t="s">
        <v>47</v>
      </c>
      <c r="F12" s="63"/>
      <c r="G12" s="50"/>
      <c r="H12" s="64"/>
      <c r="I12" s="59"/>
    </row>
    <row r="13" spans="1:9" ht="26.25" thickBot="1" x14ac:dyDescent="0.25">
      <c r="A13" s="36">
        <f>HYPERLINK("https://bluetooth.atlassian.net/browse/ES-16573",16573)</f>
        <v>16573</v>
      </c>
      <c r="B13" s="61" t="s">
        <v>148</v>
      </c>
      <c r="C13" s="61" t="s">
        <v>45</v>
      </c>
      <c r="D13" s="61" t="s">
        <v>156</v>
      </c>
      <c r="E13" s="67" t="s">
        <v>59</v>
      </c>
      <c r="F13" s="66">
        <v>2</v>
      </c>
      <c r="G13" s="36">
        <f>HYPERLINK("https://bluetooth.atlassian.net/browse/ES-17271",17271)</f>
        <v>17271</v>
      </c>
      <c r="H13" s="61" t="s">
        <v>60</v>
      </c>
      <c r="I13" s="61" t="s">
        <v>157</v>
      </c>
    </row>
    <row r="14" spans="1:9" ht="13.5" thickBot="1" x14ac:dyDescent="0.25">
      <c r="A14" s="47">
        <f>HYPERLINK("https://bluetooth.atlassian.net/browse/ES-18774",18774)</f>
        <v>18774</v>
      </c>
      <c r="B14" s="59" t="s">
        <v>148</v>
      </c>
      <c r="C14" s="59" t="s">
        <v>64</v>
      </c>
      <c r="D14" s="59" t="s">
        <v>65</v>
      </c>
      <c r="E14" s="60" t="s">
        <v>47</v>
      </c>
      <c r="F14" s="63"/>
      <c r="G14" s="50"/>
      <c r="H14" s="64"/>
      <c r="I14" s="59"/>
    </row>
    <row r="15" spans="1:9" ht="15.75" customHeight="1" thickBot="1" x14ac:dyDescent="0.25">
      <c r="A15" s="36">
        <f>HYPERLINK("https://bluetooth.atlassian.net/browse/ES-18793",18793)</f>
        <v>18793</v>
      </c>
      <c r="B15" s="61" t="s">
        <v>148</v>
      </c>
      <c r="C15" s="61" t="s">
        <v>66</v>
      </c>
      <c r="D15" s="61" t="s">
        <v>65</v>
      </c>
      <c r="E15" s="67" t="s">
        <v>47</v>
      </c>
      <c r="F15" s="66"/>
      <c r="G15" s="36"/>
      <c r="H15" s="61"/>
      <c r="I15" s="61"/>
    </row>
    <row r="16" spans="1:9" ht="13.5" thickBot="1" x14ac:dyDescent="0.25">
      <c r="A16" s="47">
        <f>HYPERLINK("https://bluetooth.atlassian.net/browse/ES-18795",18795)</f>
        <v>18795</v>
      </c>
      <c r="B16" s="59" t="s">
        <v>148</v>
      </c>
      <c r="C16" s="59" t="s">
        <v>158</v>
      </c>
      <c r="D16" s="59" t="s">
        <v>65</v>
      </c>
      <c r="E16" s="60" t="s">
        <v>47</v>
      </c>
      <c r="F16" s="63"/>
      <c r="G16" s="50"/>
      <c r="H16" s="64"/>
      <c r="I16" s="59"/>
    </row>
    <row r="17" spans="1:9" ht="15.75" customHeight="1" thickBot="1" x14ac:dyDescent="0.25">
      <c r="A17" s="36">
        <f>HYPERLINK("https://bluetooth.atlassian.net/browse/ES-19229",19229)</f>
        <v>19229</v>
      </c>
      <c r="B17" s="61" t="s">
        <v>148</v>
      </c>
      <c r="C17" s="61" t="s">
        <v>159</v>
      </c>
      <c r="D17" s="61" t="s">
        <v>156</v>
      </c>
      <c r="E17" s="67" t="s">
        <v>47</v>
      </c>
      <c r="F17" s="66"/>
      <c r="G17" s="36"/>
      <c r="H17" s="61"/>
      <c r="I17" s="61"/>
    </row>
    <row r="18" spans="1:9" ht="26.25" thickBot="1" x14ac:dyDescent="0.25">
      <c r="A18" s="47">
        <f>HYPERLINK("https://bluetooth.atlassian.net/browse/ES-19230",19230)</f>
        <v>19230</v>
      </c>
      <c r="B18" s="59" t="s">
        <v>148</v>
      </c>
      <c r="C18" s="59" t="s">
        <v>160</v>
      </c>
      <c r="D18" s="103" t="s">
        <v>156</v>
      </c>
      <c r="E18" s="60" t="s">
        <v>47</v>
      </c>
      <c r="F18" s="63"/>
      <c r="G18" s="50"/>
      <c r="H18" s="64"/>
      <c r="I18" s="59"/>
    </row>
    <row r="19" spans="1:9" ht="15.75" customHeight="1" thickBot="1" x14ac:dyDescent="0.25">
      <c r="A19" s="36">
        <f>HYPERLINK("https://bluetooth.atlassian.net/browse/ES-22608",22608)</f>
        <v>22608</v>
      </c>
      <c r="B19" s="61" t="s">
        <v>148</v>
      </c>
      <c r="C19" s="61" t="s">
        <v>161</v>
      </c>
      <c r="D19" s="61" t="s">
        <v>65</v>
      </c>
      <c r="E19" s="67" t="s">
        <v>47</v>
      </c>
      <c r="F19" s="66"/>
      <c r="G19" s="36"/>
      <c r="H19" s="61"/>
      <c r="I19" s="61"/>
    </row>
    <row r="20" spans="1:9" ht="13.5" thickBot="1" x14ac:dyDescent="0.25">
      <c r="A20" s="47">
        <f>HYPERLINK("https://bluetooth.atlassian.net/browse/ES-23029",23029)</f>
        <v>23029</v>
      </c>
      <c r="B20" s="59" t="s">
        <v>148</v>
      </c>
      <c r="C20" s="59" t="s">
        <v>162</v>
      </c>
      <c r="D20" s="59" t="s">
        <v>65</v>
      </c>
      <c r="E20" s="60" t="s">
        <v>47</v>
      </c>
      <c r="F20" s="63"/>
      <c r="G20" s="50"/>
      <c r="H20" s="64"/>
      <c r="I20" s="59"/>
    </row>
    <row r="21" spans="1:9" ht="15.75" customHeight="1" thickBot="1" x14ac:dyDescent="0.25">
      <c r="A21" s="36">
        <f>HYPERLINK("https://bluetooth.atlassian.net/browse/ES-23096",23096)</f>
        <v>23096</v>
      </c>
      <c r="B21" s="61" t="s">
        <v>148</v>
      </c>
      <c r="C21" s="61" t="s">
        <v>163</v>
      </c>
      <c r="D21" s="61" t="s">
        <v>65</v>
      </c>
      <c r="E21" s="67" t="s">
        <v>47</v>
      </c>
      <c r="F21" s="66"/>
      <c r="G21" s="36"/>
      <c r="H21" s="61"/>
      <c r="I21" s="61"/>
    </row>
    <row r="22" spans="1:9" ht="26.25" thickBot="1" x14ac:dyDescent="0.25">
      <c r="A22" s="47">
        <f>HYPERLINK("https://bluetooth.atlassian.net/browse/ES-23103",23103)</f>
        <v>23103</v>
      </c>
      <c r="B22" s="59" t="s">
        <v>148</v>
      </c>
      <c r="C22" s="59" t="s">
        <v>164</v>
      </c>
      <c r="D22" s="59" t="s">
        <v>65</v>
      </c>
      <c r="E22" s="60" t="s">
        <v>47</v>
      </c>
      <c r="F22" s="63"/>
      <c r="G22" s="50"/>
      <c r="H22" s="64"/>
      <c r="I22" s="59"/>
    </row>
  </sheetData>
  <sortState xmlns:xlrd2="http://schemas.microsoft.com/office/spreadsheetml/2017/richdata2" ref="D23:D35">
    <sortCondition ref="D23:D35"/>
  </sortState>
  <mergeCells count="6">
    <mergeCell ref="A2:I2"/>
    <mergeCell ref="A3:I3"/>
    <mergeCell ref="D4:H4"/>
    <mergeCell ref="D5:H5"/>
    <mergeCell ref="A8:B8"/>
    <mergeCell ref="D6:H6"/>
  </mergeCells>
  <conditionalFormatting sqref="E11:E22">
    <cfRule type="cellIs" dxfId="12" priority="2" operator="notEqual">
      <formula>"No"</formula>
    </cfRule>
  </conditionalFormatting>
  <dataValidations count="1">
    <dataValidation type="list" allowBlank="1" sqref="E10:H22" xr:uid="{00000000-0002-0000-0A00-000000000000}">
      <formula1>#REF!</formula1>
    </dataValidation>
  </dataValidations>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I12"/>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9.140625" customWidth="1"/>
  </cols>
  <sheetData>
    <row r="1" spans="1:9" ht="28.5" customHeight="1" thickBot="1" x14ac:dyDescent="0.35">
      <c r="A1" s="19" t="s">
        <v>165</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7" t="s">
        <v>166</v>
      </c>
      <c r="B5" s="57">
        <v>44579</v>
      </c>
      <c r="C5" s="57" t="s">
        <v>32</v>
      </c>
      <c r="D5" s="165" t="s">
        <v>167</v>
      </c>
      <c r="E5" s="166"/>
      <c r="F5" s="166"/>
      <c r="G5" s="166"/>
      <c r="H5" s="166"/>
      <c r="I5" s="58"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13.5" customHeight="1" thickBot="1" x14ac:dyDescent="0.25">
      <c r="A10" s="36">
        <f>HYPERLINK("https://bluetooth.atlassian.net/browse/ES-16276",16276)</f>
        <v>16276</v>
      </c>
      <c r="B10" s="61" t="s">
        <v>168</v>
      </c>
      <c r="C10" s="61" t="s">
        <v>81</v>
      </c>
      <c r="D10" s="61" t="s">
        <v>46</v>
      </c>
      <c r="E10" s="60" t="s">
        <v>59</v>
      </c>
      <c r="F10" s="66">
        <v>4</v>
      </c>
      <c r="G10" s="36">
        <f>HYPERLINK("https://bluetooth.atlassian.net/browse/ES-16856",16856)</f>
        <v>16856</v>
      </c>
      <c r="H10" s="61" t="s">
        <v>60</v>
      </c>
      <c r="I10" s="61" t="s">
        <v>82</v>
      </c>
    </row>
    <row r="11" spans="1:9" s="2" customFormat="1" ht="13.5" customHeight="1" thickBot="1" x14ac:dyDescent="0.25">
      <c r="A11" s="47">
        <f>HYPERLINK("https://bluetooth.atlassian.net/browse/ES-16990",16990)</f>
        <v>16990</v>
      </c>
      <c r="B11" s="59" t="s">
        <v>168</v>
      </c>
      <c r="C11" s="59" t="s">
        <v>104</v>
      </c>
      <c r="D11" s="59" t="s">
        <v>65</v>
      </c>
      <c r="E11" s="60" t="s">
        <v>47</v>
      </c>
      <c r="F11" s="63"/>
      <c r="G11" s="50"/>
      <c r="H11" s="53"/>
      <c r="I11" s="48"/>
    </row>
    <row r="12" spans="1:9" s="2" customFormat="1" ht="13.5" customHeight="1" thickBot="1" x14ac:dyDescent="0.25">
      <c r="A12" s="36">
        <f>HYPERLINK("https://bluetooth.atlassian.net/browse/ES-17660",17660)</f>
        <v>17660</v>
      </c>
      <c r="B12" s="61" t="s">
        <v>168</v>
      </c>
      <c r="C12" s="61" t="s">
        <v>84</v>
      </c>
      <c r="D12" s="68" t="s">
        <v>65</v>
      </c>
      <c r="E12" s="67" t="s">
        <v>47</v>
      </c>
      <c r="F12" s="66"/>
      <c r="G12" s="36"/>
      <c r="H12" s="49"/>
      <c r="I12" s="49"/>
    </row>
  </sheetData>
  <mergeCells count="5">
    <mergeCell ref="A2:I2"/>
    <mergeCell ref="A3:I3"/>
    <mergeCell ref="D4:H4"/>
    <mergeCell ref="D5:H5"/>
    <mergeCell ref="A7:B7"/>
  </mergeCells>
  <conditionalFormatting sqref="E10:E12">
    <cfRule type="cellIs" dxfId="11" priority="1" operator="notEqual">
      <formula>"No"</formula>
    </cfRule>
  </conditionalFormatting>
  <dataValidations count="1">
    <dataValidation type="list" allowBlank="1" sqref="E9:H12" xr:uid="{00000000-0002-0000-0B00-000000000000}">
      <formula1>#REF!</formula1>
    </dataValidation>
  </dataValidations>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I11"/>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8.42578125" customWidth="1"/>
  </cols>
  <sheetData>
    <row r="1" spans="1:9" ht="28.5" customHeight="1" thickBot="1" x14ac:dyDescent="0.35">
      <c r="A1" s="19" t="s">
        <v>169</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7" t="s">
        <v>170</v>
      </c>
      <c r="B5" s="57">
        <v>44579</v>
      </c>
      <c r="C5" s="57" t="s">
        <v>32</v>
      </c>
      <c r="D5" s="165" t="s">
        <v>171</v>
      </c>
      <c r="E5" s="166"/>
      <c r="F5" s="166"/>
      <c r="G5" s="166"/>
      <c r="H5" s="166"/>
      <c r="I5" s="58"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8.5" customHeight="1" thickBot="1" x14ac:dyDescent="0.25">
      <c r="A9" s="134" t="s">
        <v>36</v>
      </c>
      <c r="B9" s="134" t="s">
        <v>37</v>
      </c>
      <c r="C9" s="135" t="s">
        <v>38</v>
      </c>
      <c r="D9" s="128" t="s">
        <v>39</v>
      </c>
      <c r="E9" s="136" t="s">
        <v>1</v>
      </c>
      <c r="F9" s="128" t="s">
        <v>40</v>
      </c>
      <c r="G9" s="136" t="s">
        <v>41</v>
      </c>
      <c r="H9" s="136" t="s">
        <v>42</v>
      </c>
      <c r="I9" s="135" t="s">
        <v>43</v>
      </c>
    </row>
    <row r="10" spans="1:9" s="2" customFormat="1" ht="13.5" customHeight="1" thickBot="1" x14ac:dyDescent="0.25">
      <c r="A10" s="36">
        <f>HYPERLINK("https://bluetooth.atlassian.net/browse/ES-16245",16245)</f>
        <v>16245</v>
      </c>
      <c r="B10" s="61" t="s">
        <v>172</v>
      </c>
      <c r="C10" s="61" t="s">
        <v>89</v>
      </c>
      <c r="D10" s="61" t="s">
        <v>95</v>
      </c>
      <c r="E10" s="60" t="s">
        <v>59</v>
      </c>
      <c r="F10" s="66">
        <v>4</v>
      </c>
      <c r="G10" s="36">
        <f>HYPERLINK("https://bluetooth.atlassian.net/browse/ES-16855",16855)</f>
        <v>16855</v>
      </c>
      <c r="H10" s="61" t="s">
        <v>60</v>
      </c>
      <c r="I10" s="61" t="s">
        <v>82</v>
      </c>
    </row>
    <row r="11" spans="1:9" s="2" customFormat="1" ht="13.5" customHeight="1" thickBot="1" x14ac:dyDescent="0.25">
      <c r="A11" s="47">
        <f>HYPERLINK("https://bluetooth.atlassian.net/browse/ES-16990",16990)</f>
        <v>16990</v>
      </c>
      <c r="B11" s="59" t="s">
        <v>168</v>
      </c>
      <c r="C11" s="59" t="s">
        <v>104</v>
      </c>
      <c r="D11" s="59" t="s">
        <v>65</v>
      </c>
      <c r="E11" s="60" t="s">
        <v>47</v>
      </c>
      <c r="F11" s="63"/>
      <c r="G11" s="50"/>
      <c r="H11" s="53"/>
      <c r="I11" s="48"/>
    </row>
  </sheetData>
  <mergeCells count="5">
    <mergeCell ref="A2:I2"/>
    <mergeCell ref="A3:I3"/>
    <mergeCell ref="D4:H4"/>
    <mergeCell ref="D5:H5"/>
    <mergeCell ref="A7:B7"/>
  </mergeCells>
  <conditionalFormatting sqref="E10:E11">
    <cfRule type="cellIs" dxfId="10" priority="1" operator="notEqual">
      <formula>"No"</formula>
    </cfRule>
  </conditionalFormatting>
  <dataValidations count="1">
    <dataValidation type="list" allowBlank="1" sqref="E9:H11" xr:uid="{00000000-0002-0000-0C00-000000000000}">
      <formula1>#REF!</formula1>
    </dataValidation>
  </dataValidations>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I12"/>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9.140625" customWidth="1"/>
  </cols>
  <sheetData>
    <row r="1" spans="1:9" ht="28.5" customHeight="1" thickBot="1" x14ac:dyDescent="0.35">
      <c r="A1" s="19" t="s">
        <v>173</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7" t="s">
        <v>174</v>
      </c>
      <c r="B5" s="57">
        <v>44579</v>
      </c>
      <c r="C5" s="57" t="s">
        <v>32</v>
      </c>
      <c r="D5" s="165" t="s">
        <v>175</v>
      </c>
      <c r="E5" s="166"/>
      <c r="F5" s="166"/>
      <c r="G5" s="166"/>
      <c r="H5" s="166"/>
      <c r="I5" s="58"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75" customHeight="1" thickBot="1" x14ac:dyDescent="0.25">
      <c r="A9" s="134" t="s">
        <v>36</v>
      </c>
      <c r="B9" s="134" t="s">
        <v>37</v>
      </c>
      <c r="C9" s="135" t="s">
        <v>38</v>
      </c>
      <c r="D9" s="128" t="s">
        <v>39</v>
      </c>
      <c r="E9" s="136" t="s">
        <v>1</v>
      </c>
      <c r="F9" s="128" t="s">
        <v>40</v>
      </c>
      <c r="G9" s="136" t="s">
        <v>41</v>
      </c>
      <c r="H9" s="136" t="s">
        <v>42</v>
      </c>
      <c r="I9" s="135" t="s">
        <v>43</v>
      </c>
    </row>
    <row r="10" spans="1:9" s="2" customFormat="1" ht="13.5" customHeight="1" thickBot="1" x14ac:dyDescent="0.25">
      <c r="A10" s="36">
        <f>HYPERLINK("https://bluetooth.atlassian.net/browse/ES-15797",15797)</f>
        <v>15797</v>
      </c>
      <c r="B10" s="61" t="s">
        <v>176</v>
      </c>
      <c r="C10" s="61" t="s">
        <v>104</v>
      </c>
      <c r="D10" s="68" t="s">
        <v>65</v>
      </c>
      <c r="E10" s="67" t="s">
        <v>47</v>
      </c>
      <c r="F10" s="66"/>
      <c r="G10" s="36"/>
      <c r="H10" s="49"/>
      <c r="I10" s="49"/>
    </row>
    <row r="11" spans="1:9" s="2" customFormat="1" ht="13.5" customHeight="1" thickBot="1" x14ac:dyDescent="0.25">
      <c r="A11" s="47">
        <f>HYPERLINK("https://bluetooth.atlassian.net/browse/ES-16486",16486)</f>
        <v>16486</v>
      </c>
      <c r="B11" s="59" t="s">
        <v>176</v>
      </c>
      <c r="C11" s="59" t="s">
        <v>177</v>
      </c>
      <c r="D11" s="59" t="s">
        <v>46</v>
      </c>
      <c r="E11" s="60" t="s">
        <v>59</v>
      </c>
      <c r="F11" s="63">
        <v>4</v>
      </c>
      <c r="G11" s="50">
        <f>HYPERLINK("https://bluetooth.atlassian.net/browse/ES-16936",16936)</f>
        <v>16936</v>
      </c>
      <c r="H11" s="64" t="s">
        <v>60</v>
      </c>
      <c r="I11" s="59" t="s">
        <v>82</v>
      </c>
    </row>
    <row r="12" spans="1:9" s="2" customFormat="1" ht="13.5" customHeight="1" thickBot="1" x14ac:dyDescent="0.25">
      <c r="A12" s="36">
        <f>HYPERLINK("https://bluetooth.atlassian.net/browse/ES-17661",17661)</f>
        <v>17661</v>
      </c>
      <c r="B12" s="61" t="s">
        <v>176</v>
      </c>
      <c r="C12" s="61" t="s">
        <v>84</v>
      </c>
      <c r="D12" s="68" t="s">
        <v>65</v>
      </c>
      <c r="E12" s="67" t="s">
        <v>47</v>
      </c>
      <c r="F12" s="66"/>
      <c r="G12" s="36"/>
      <c r="H12" s="49"/>
      <c r="I12" s="49"/>
    </row>
  </sheetData>
  <mergeCells count="5">
    <mergeCell ref="A2:I2"/>
    <mergeCell ref="A3:I3"/>
    <mergeCell ref="D4:H4"/>
    <mergeCell ref="D5:H5"/>
    <mergeCell ref="A7:B7"/>
  </mergeCells>
  <conditionalFormatting sqref="E10:E12">
    <cfRule type="cellIs" dxfId="9" priority="1" operator="notEqual">
      <formula>"No"</formula>
    </cfRule>
  </conditionalFormatting>
  <dataValidations count="1">
    <dataValidation type="list" allowBlank="1" sqref="E9:H12" xr:uid="{00000000-0002-0000-0D00-000000000000}">
      <formula1>#REF!</formula1>
    </dataValidation>
  </dataValidations>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sheetPr>
  <dimension ref="A1:I12"/>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9.7109375" customWidth="1"/>
  </cols>
  <sheetData>
    <row r="1" spans="1:9" ht="28.5" customHeight="1" thickBot="1" x14ac:dyDescent="0.35">
      <c r="A1" s="19" t="s">
        <v>178</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7" t="s">
        <v>179</v>
      </c>
      <c r="B5" s="57">
        <v>44579</v>
      </c>
      <c r="C5" s="57" t="s">
        <v>32</v>
      </c>
      <c r="D5" s="165" t="s">
        <v>180</v>
      </c>
      <c r="E5" s="166"/>
      <c r="F5" s="166"/>
      <c r="G5" s="166"/>
      <c r="H5" s="166"/>
      <c r="I5" s="58"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13.5" customHeight="1" thickBot="1" x14ac:dyDescent="0.25">
      <c r="A10" s="36">
        <f>HYPERLINK("https://bluetooth.atlassian.net/browse/ES-16246",16246)</f>
        <v>16246</v>
      </c>
      <c r="B10" s="61" t="s">
        <v>181</v>
      </c>
      <c r="C10" s="61" t="s">
        <v>89</v>
      </c>
      <c r="D10" s="61" t="s">
        <v>182</v>
      </c>
      <c r="E10" s="60" t="s">
        <v>59</v>
      </c>
      <c r="F10" s="66">
        <v>4</v>
      </c>
      <c r="G10" s="36">
        <f>HYPERLINK("https://bluetooth.atlassian.net/browse/ES-16861",16861)</f>
        <v>16861</v>
      </c>
      <c r="H10" s="61" t="s">
        <v>60</v>
      </c>
      <c r="I10" s="61" t="s">
        <v>82</v>
      </c>
    </row>
    <row r="11" spans="1:9" s="2" customFormat="1" ht="13.5" customHeight="1" thickBot="1" x14ac:dyDescent="0.25">
      <c r="A11" s="47">
        <f>HYPERLINK("https://bluetooth.atlassian.net/browse/ES-17501",17501)</f>
        <v>17501</v>
      </c>
      <c r="B11" s="59" t="s">
        <v>181</v>
      </c>
      <c r="C11" s="59" t="s">
        <v>183</v>
      </c>
      <c r="D11" s="59" t="s">
        <v>65</v>
      </c>
      <c r="E11" s="60" t="s">
        <v>47</v>
      </c>
      <c r="F11" s="63"/>
      <c r="G11" s="50"/>
      <c r="H11" s="53"/>
      <c r="I11" s="48"/>
    </row>
    <row r="12" spans="1:9" s="2" customFormat="1" ht="13.5" customHeight="1" thickBot="1" x14ac:dyDescent="0.25">
      <c r="A12" s="36">
        <f>HYPERLINK("https://bluetooth.atlassian.net/browse/ES-17662",17662)</f>
        <v>17662</v>
      </c>
      <c r="B12" s="61" t="s">
        <v>181</v>
      </c>
      <c r="C12" s="61" t="s">
        <v>84</v>
      </c>
      <c r="D12" s="61" t="s">
        <v>65</v>
      </c>
      <c r="E12" s="67" t="s">
        <v>47</v>
      </c>
      <c r="F12" s="66"/>
      <c r="G12" s="36"/>
      <c r="H12" s="49"/>
      <c r="I12" s="49"/>
    </row>
  </sheetData>
  <mergeCells count="5">
    <mergeCell ref="A2:I2"/>
    <mergeCell ref="A3:I3"/>
    <mergeCell ref="D4:H4"/>
    <mergeCell ref="D5:H5"/>
    <mergeCell ref="A7:B7"/>
  </mergeCells>
  <conditionalFormatting sqref="E10:E12">
    <cfRule type="cellIs" dxfId="8" priority="1" operator="notEqual">
      <formula>"No"</formula>
    </cfRule>
  </conditionalFormatting>
  <dataValidations count="1">
    <dataValidation type="list" allowBlank="1" sqref="E9:H12" xr:uid="{00000000-0002-0000-0E00-000000000000}">
      <formula1>#REF!</formula1>
    </dataValidation>
  </dataValidations>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I12"/>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6.5703125" customWidth="1"/>
  </cols>
  <sheetData>
    <row r="1" spans="1:9" ht="28.5" customHeight="1" thickBot="1" x14ac:dyDescent="0.35">
      <c r="A1" s="19" t="s">
        <v>184</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4" t="s">
        <v>185</v>
      </c>
      <c r="B5" s="54">
        <v>42185</v>
      </c>
      <c r="C5" s="54" t="s">
        <v>32</v>
      </c>
      <c r="D5" s="182" t="s">
        <v>186</v>
      </c>
      <c r="E5" s="183"/>
      <c r="F5" s="183"/>
      <c r="G5" s="183"/>
      <c r="H5" s="183"/>
      <c r="I5" s="55"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27" customHeight="1" thickBot="1" x14ac:dyDescent="0.25">
      <c r="A10" s="36">
        <f>HYPERLINK("https://bluetooth.atlassian.net/browse/ES-4826",4826)</f>
        <v>4826</v>
      </c>
      <c r="B10" s="28" t="s">
        <v>187</v>
      </c>
      <c r="C10" s="28" t="s">
        <v>188</v>
      </c>
      <c r="D10" s="28" t="s">
        <v>80</v>
      </c>
      <c r="E10" s="29" t="s">
        <v>47</v>
      </c>
      <c r="F10" s="28"/>
      <c r="G10" s="36"/>
      <c r="H10" s="28"/>
      <c r="I10" s="28"/>
    </row>
    <row r="11" spans="1:9" ht="15.75" customHeight="1" x14ac:dyDescent="0.2">
      <c r="A11" s="43"/>
      <c r="B11" s="43"/>
      <c r="C11" s="44"/>
      <c r="D11" s="44"/>
      <c r="E11" s="45"/>
      <c r="F11" s="45"/>
      <c r="G11" s="45"/>
      <c r="H11" s="45"/>
      <c r="I11" s="44"/>
    </row>
    <row r="12" spans="1:9" ht="15.75" customHeight="1" x14ac:dyDescent="0.2">
      <c r="A12" s="20"/>
      <c r="B12" s="20"/>
      <c r="C12" s="21"/>
      <c r="D12" s="21"/>
      <c r="E12" s="22"/>
      <c r="F12" s="22"/>
      <c r="G12" s="22"/>
      <c r="H12" s="22"/>
      <c r="I12" s="21"/>
    </row>
  </sheetData>
  <mergeCells count="5">
    <mergeCell ref="A2:I2"/>
    <mergeCell ref="A3:I3"/>
    <mergeCell ref="D4:H4"/>
    <mergeCell ref="D5:H5"/>
    <mergeCell ref="A7:B7"/>
  </mergeCells>
  <conditionalFormatting sqref="E10">
    <cfRule type="cellIs" dxfId="7" priority="1" operator="notEqual">
      <formula>"No"</formula>
    </cfRule>
  </conditionalFormatting>
  <dataValidations count="1">
    <dataValidation type="list" allowBlank="1" sqref="E9:H10" xr:uid="{00000000-0002-0000-0F00-000000000000}">
      <formula1>#REF!</formula1>
    </dataValidation>
  </dataValidation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I10"/>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6.140625" customWidth="1"/>
  </cols>
  <sheetData>
    <row r="1" spans="1:9" ht="28.5" customHeight="1" thickBot="1" x14ac:dyDescent="0.35">
      <c r="A1" s="19" t="s">
        <v>23</v>
      </c>
      <c r="B1" s="25"/>
      <c r="C1" s="31"/>
      <c r="D1" s="31"/>
      <c r="E1" s="32"/>
      <c r="F1" s="32"/>
      <c r="G1" s="32"/>
      <c r="H1" s="32"/>
      <c r="I1" s="31"/>
    </row>
    <row r="2" spans="1:9" ht="66.7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30.75" customHeight="1" thickBot="1" x14ac:dyDescent="0.3">
      <c r="A4" s="37" t="s">
        <v>26</v>
      </c>
      <c r="B4" s="38" t="s">
        <v>27</v>
      </c>
      <c r="C4" s="37" t="s">
        <v>28</v>
      </c>
      <c r="D4" s="163" t="s">
        <v>29</v>
      </c>
      <c r="E4" s="164"/>
      <c r="F4" s="164"/>
      <c r="G4" s="164"/>
      <c r="H4" s="164"/>
      <c r="I4" s="39" t="s">
        <v>30</v>
      </c>
    </row>
    <row r="5" spans="1:9" s="56" customFormat="1" ht="204.75" thickBot="1" x14ac:dyDescent="0.25">
      <c r="A5" s="57" t="s">
        <v>31</v>
      </c>
      <c r="B5" s="57">
        <v>44915</v>
      </c>
      <c r="C5" s="57" t="s">
        <v>32</v>
      </c>
      <c r="D5" s="165">
        <v>16258</v>
      </c>
      <c r="E5" s="166"/>
      <c r="F5" s="166"/>
      <c r="G5" s="166"/>
      <c r="H5" s="166"/>
      <c r="I5" s="30" t="s">
        <v>33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13.5" customHeight="1" thickBot="1" x14ac:dyDescent="0.25">
      <c r="A10" s="36">
        <f>HYPERLINK("https://bluetooth.atlassian.net/browse/ES-16258",16258)</f>
        <v>16258</v>
      </c>
      <c r="B10" s="61" t="s">
        <v>44</v>
      </c>
      <c r="C10" s="61" t="s">
        <v>45</v>
      </c>
      <c r="D10" s="61" t="s">
        <v>46</v>
      </c>
      <c r="E10" s="67" t="s">
        <v>47</v>
      </c>
      <c r="F10" s="66"/>
      <c r="G10" s="36"/>
      <c r="H10" s="61"/>
      <c r="I10" s="61"/>
    </row>
  </sheetData>
  <mergeCells count="5">
    <mergeCell ref="A2:I2"/>
    <mergeCell ref="A3:I3"/>
    <mergeCell ref="D4:H4"/>
    <mergeCell ref="D5:H5"/>
    <mergeCell ref="A7:B7"/>
  </mergeCells>
  <conditionalFormatting sqref="E10">
    <cfRule type="cellIs" dxfId="24" priority="1" operator="notEqual">
      <formula>"No"</formula>
    </cfRule>
  </conditionalFormatting>
  <dataValidations count="1">
    <dataValidation type="list" allowBlank="1" sqref="E9:H10" xr:uid="{00000000-0002-0000-0100-000000000000}">
      <formula1>#REF!</formula1>
    </dataValidation>
  </dataValidations>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I30"/>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8.85546875" customWidth="1"/>
  </cols>
  <sheetData>
    <row r="1" spans="1:9" ht="28.5" customHeight="1" thickBot="1" x14ac:dyDescent="0.35">
      <c r="A1" s="19" t="s">
        <v>189</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7" t="s">
        <v>190</v>
      </c>
      <c r="B5" s="57">
        <v>44579</v>
      </c>
      <c r="C5" s="57" t="s">
        <v>32</v>
      </c>
      <c r="D5" s="165" t="s">
        <v>191</v>
      </c>
      <c r="E5" s="166"/>
      <c r="F5" s="166"/>
      <c r="G5" s="166"/>
      <c r="H5" s="166"/>
      <c r="I5" s="58"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13.5" customHeight="1" thickBot="1" x14ac:dyDescent="0.25">
      <c r="A10" s="36">
        <f>HYPERLINK("https://bluetooth.atlassian.net/browse/ES-15807",15807)</f>
        <v>15807</v>
      </c>
      <c r="B10" s="61" t="s">
        <v>192</v>
      </c>
      <c r="C10" s="61" t="s">
        <v>104</v>
      </c>
      <c r="D10" s="68" t="s">
        <v>65</v>
      </c>
      <c r="E10" s="60" t="s">
        <v>59</v>
      </c>
      <c r="F10" s="66">
        <v>1</v>
      </c>
      <c r="G10" s="36">
        <f>HYPERLINK("https://bluetooth.atlassian.net/browse/ES-18112",18112)</f>
        <v>18112</v>
      </c>
      <c r="H10" s="61" t="s">
        <v>60</v>
      </c>
      <c r="I10" s="61"/>
    </row>
    <row r="11" spans="1:9" s="2" customFormat="1" ht="13.5" customHeight="1" thickBot="1" x14ac:dyDescent="0.25">
      <c r="A11" s="47">
        <f>HYPERLINK("https://bluetooth.atlassian.net/browse/ES-16277",16277)</f>
        <v>16277</v>
      </c>
      <c r="B11" s="59" t="s">
        <v>192</v>
      </c>
      <c r="C11" s="59" t="s">
        <v>81</v>
      </c>
      <c r="D11" s="59" t="s">
        <v>46</v>
      </c>
      <c r="E11" s="60" t="s">
        <v>59</v>
      </c>
      <c r="F11" s="63">
        <v>4</v>
      </c>
      <c r="G11" s="50">
        <f>HYPERLINK("https://bluetooth.atlassian.net/browse/ES-16766",16766)</f>
        <v>16766</v>
      </c>
      <c r="H11" s="64" t="s">
        <v>60</v>
      </c>
      <c r="I11" s="59" t="s">
        <v>82</v>
      </c>
    </row>
    <row r="12" spans="1:9" s="2" customFormat="1" ht="13.5" customHeight="1" thickBot="1" x14ac:dyDescent="0.25">
      <c r="A12" s="36">
        <f>HYPERLINK("https://bluetooth.atlassian.net/browse/ES-17663",17663)</f>
        <v>17663</v>
      </c>
      <c r="B12" s="61" t="s">
        <v>192</v>
      </c>
      <c r="C12" s="61" t="s">
        <v>84</v>
      </c>
      <c r="D12" s="68" t="s">
        <v>65</v>
      </c>
      <c r="E12" s="67" t="s">
        <v>47</v>
      </c>
      <c r="F12" s="66"/>
      <c r="G12" s="36"/>
      <c r="H12" s="49"/>
      <c r="I12" s="49"/>
    </row>
    <row r="13" spans="1:9" s="2" customFormat="1" ht="13.5" customHeight="1" thickBot="1" x14ac:dyDescent="0.25">
      <c r="A13" s="47">
        <f>HYPERLINK("https://bluetooth.atlassian.net/browse/ES-17996",17996)</f>
        <v>17996</v>
      </c>
      <c r="B13" s="59" t="s">
        <v>192</v>
      </c>
      <c r="C13" s="59" t="s">
        <v>193</v>
      </c>
      <c r="D13" s="59" t="s">
        <v>65</v>
      </c>
      <c r="E13" s="60" t="s">
        <v>47</v>
      </c>
      <c r="F13" s="63"/>
      <c r="G13" s="50"/>
      <c r="H13" s="53"/>
      <c r="I13" s="48"/>
    </row>
    <row r="30" ht="15" customHeight="1" x14ac:dyDescent="0.2"/>
  </sheetData>
  <mergeCells count="5">
    <mergeCell ref="A2:I2"/>
    <mergeCell ref="A3:I3"/>
    <mergeCell ref="D4:H4"/>
    <mergeCell ref="D5:H5"/>
    <mergeCell ref="A7:B7"/>
  </mergeCells>
  <conditionalFormatting sqref="E10:E13">
    <cfRule type="cellIs" dxfId="6" priority="1" operator="notEqual">
      <formula>"No"</formula>
    </cfRule>
  </conditionalFormatting>
  <dataValidations count="1">
    <dataValidation type="list" allowBlank="1" sqref="E9:H13" xr:uid="{00000000-0002-0000-1000-000000000000}">
      <formula1>#REF!</formula1>
    </dataValidation>
  </dataValidations>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outlinePr summaryBelow="0" summaryRight="0"/>
  </sheetPr>
  <dimension ref="A1:I13"/>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8.7109375" customWidth="1"/>
  </cols>
  <sheetData>
    <row r="1" spans="1:9" ht="28.5" customHeight="1" thickBot="1" x14ac:dyDescent="0.35">
      <c r="A1" s="19" t="s">
        <v>194</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7" t="s">
        <v>195</v>
      </c>
      <c r="B5" s="57">
        <v>44579</v>
      </c>
      <c r="C5" s="57" t="s">
        <v>32</v>
      </c>
      <c r="D5" s="165" t="s">
        <v>196</v>
      </c>
      <c r="E5" s="166"/>
      <c r="F5" s="166"/>
      <c r="G5" s="166"/>
      <c r="H5" s="166"/>
      <c r="I5" s="58"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6.25" customHeight="1" thickBot="1" x14ac:dyDescent="0.25">
      <c r="A9" s="134" t="s">
        <v>36</v>
      </c>
      <c r="B9" s="134" t="s">
        <v>37</v>
      </c>
      <c r="C9" s="135" t="s">
        <v>38</v>
      </c>
      <c r="D9" s="128" t="s">
        <v>39</v>
      </c>
      <c r="E9" s="136" t="s">
        <v>1</v>
      </c>
      <c r="F9" s="128" t="s">
        <v>40</v>
      </c>
      <c r="G9" s="136" t="s">
        <v>41</v>
      </c>
      <c r="H9" s="136" t="s">
        <v>42</v>
      </c>
      <c r="I9" s="135" t="s">
        <v>43</v>
      </c>
    </row>
    <row r="10" spans="1:9" s="2" customFormat="1" ht="13.5" customHeight="1" thickBot="1" x14ac:dyDescent="0.25">
      <c r="A10" s="36">
        <f>HYPERLINK("https://bluetooth.atlassian.net/browse/ES-16248",16248)</f>
        <v>16248</v>
      </c>
      <c r="B10" s="61" t="s">
        <v>197</v>
      </c>
      <c r="C10" s="61" t="s">
        <v>89</v>
      </c>
      <c r="D10" s="61" t="s">
        <v>95</v>
      </c>
      <c r="E10" s="60" t="s">
        <v>59</v>
      </c>
      <c r="F10" s="66">
        <v>4</v>
      </c>
      <c r="G10" s="36">
        <f>HYPERLINK("https://bluetooth.atlassian.net/browse/ES-16765",16765)</f>
        <v>16765</v>
      </c>
      <c r="H10" s="61" t="s">
        <v>60</v>
      </c>
      <c r="I10" s="61" t="s">
        <v>82</v>
      </c>
    </row>
    <row r="11" spans="1:9" s="2" customFormat="1" ht="38.85" customHeight="1" thickBot="1" x14ac:dyDescent="0.25">
      <c r="A11" s="47">
        <f>HYPERLINK("https://bluetooth.atlassian.net/browse/ES-16249",16249)</f>
        <v>16249</v>
      </c>
      <c r="B11" s="59" t="s">
        <v>197</v>
      </c>
      <c r="C11" s="59" t="s">
        <v>45</v>
      </c>
      <c r="D11" s="59" t="s">
        <v>46</v>
      </c>
      <c r="E11" s="60" t="s">
        <v>59</v>
      </c>
      <c r="F11" s="63"/>
      <c r="G11" s="50"/>
      <c r="H11" s="64"/>
      <c r="I11" s="59" t="s">
        <v>63</v>
      </c>
    </row>
    <row r="12" spans="1:9" s="2" customFormat="1" ht="13.5" customHeight="1" thickBot="1" x14ac:dyDescent="0.25">
      <c r="A12" s="36">
        <f>HYPERLINK("https://bluetooth.atlassian.net/browse/ES-17517",17517)</f>
        <v>17517</v>
      </c>
      <c r="B12" s="61" t="s">
        <v>197</v>
      </c>
      <c r="C12" s="61" t="s">
        <v>198</v>
      </c>
      <c r="D12" s="61" t="s">
        <v>65</v>
      </c>
      <c r="E12" s="67" t="s">
        <v>47</v>
      </c>
      <c r="F12" s="66"/>
      <c r="G12" s="36"/>
      <c r="H12" s="49"/>
      <c r="I12" s="49"/>
    </row>
    <row r="13" spans="1:9" s="2" customFormat="1" ht="13.5" customHeight="1" thickBot="1" x14ac:dyDescent="0.25">
      <c r="A13" s="47">
        <f>HYPERLINK("https://bluetooth.atlassian.net/browse/ES-17997",17997)</f>
        <v>17997</v>
      </c>
      <c r="B13" s="59" t="s">
        <v>197</v>
      </c>
      <c r="C13" s="59" t="s">
        <v>193</v>
      </c>
      <c r="D13" s="59" t="s">
        <v>65</v>
      </c>
      <c r="E13" s="60" t="s">
        <v>47</v>
      </c>
      <c r="F13" s="63"/>
      <c r="G13" s="50"/>
      <c r="H13" s="53"/>
      <c r="I13" s="48"/>
    </row>
  </sheetData>
  <mergeCells count="5">
    <mergeCell ref="A2:I2"/>
    <mergeCell ref="A3:I3"/>
    <mergeCell ref="D4:H4"/>
    <mergeCell ref="D5:H5"/>
    <mergeCell ref="A7:B7"/>
  </mergeCells>
  <conditionalFormatting sqref="E10:E13">
    <cfRule type="cellIs" dxfId="5" priority="1" operator="notEqual">
      <formula>"No"</formula>
    </cfRule>
  </conditionalFormatting>
  <dataValidations count="1">
    <dataValidation type="list" allowBlank="1" sqref="E9:H13" xr:uid="{00000000-0002-0000-1100-000000000000}">
      <formula1>#REF!</formula1>
    </dataValidation>
  </dataValidations>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outlinePr summaryBelow="0" summaryRight="0"/>
  </sheetPr>
  <dimension ref="A1:I12"/>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6.7109375" customWidth="1"/>
  </cols>
  <sheetData>
    <row r="1" spans="1:9" ht="28.5" customHeight="1" thickBot="1" x14ac:dyDescent="0.35">
      <c r="A1" s="19" t="s">
        <v>199</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4" t="s">
        <v>200</v>
      </c>
      <c r="B5" s="54">
        <v>42185</v>
      </c>
      <c r="C5" s="54" t="s">
        <v>32</v>
      </c>
      <c r="D5" s="182" t="s">
        <v>201</v>
      </c>
      <c r="E5" s="183"/>
      <c r="F5" s="183"/>
      <c r="G5" s="183"/>
      <c r="H5" s="183"/>
      <c r="I5" s="55"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27.95" customHeight="1" thickBot="1" x14ac:dyDescent="0.25">
      <c r="A10" s="36">
        <f>HYPERLINK("https://bluetooth.atlassian.net/browse/ES-4643",4643)</f>
        <v>4643</v>
      </c>
      <c r="B10" s="28" t="s">
        <v>202</v>
      </c>
      <c r="C10" s="28" t="s">
        <v>203</v>
      </c>
      <c r="D10" s="28" t="s">
        <v>80</v>
      </c>
      <c r="E10" s="29" t="s">
        <v>47</v>
      </c>
      <c r="F10" s="28"/>
      <c r="G10" s="36"/>
      <c r="H10" s="28"/>
      <c r="I10" s="28"/>
    </row>
    <row r="11" spans="1:9" ht="15.75" customHeight="1" x14ac:dyDescent="0.2">
      <c r="A11" s="20"/>
      <c r="B11" s="20"/>
      <c r="C11" s="21"/>
      <c r="D11" s="21"/>
      <c r="E11" s="22"/>
      <c r="F11" s="22"/>
      <c r="G11" s="22"/>
      <c r="H11" s="22"/>
      <c r="I11" s="21"/>
    </row>
    <row r="12" spans="1:9" ht="15.75" customHeight="1" x14ac:dyDescent="0.2">
      <c r="A12" s="20"/>
      <c r="B12" s="20"/>
      <c r="C12" s="21"/>
      <c r="D12" s="21"/>
      <c r="E12" s="22"/>
      <c r="F12" s="22"/>
      <c r="G12" s="22"/>
      <c r="H12" s="22"/>
      <c r="I12" s="21"/>
    </row>
  </sheetData>
  <mergeCells count="5">
    <mergeCell ref="A2:I2"/>
    <mergeCell ref="A3:I3"/>
    <mergeCell ref="D4:H4"/>
    <mergeCell ref="D5:H5"/>
    <mergeCell ref="A7:B7"/>
  </mergeCells>
  <conditionalFormatting sqref="E10">
    <cfRule type="cellIs" dxfId="4" priority="1" operator="notEqual">
      <formula>"No"</formula>
    </cfRule>
  </conditionalFormatting>
  <dataValidations count="1">
    <dataValidation type="list" allowBlank="1" sqref="E9:H10" xr:uid="{00000000-0002-0000-1200-000000000000}">
      <formula1>#REF!</formula1>
    </dataValidation>
  </dataValidations>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outlinePr summaryBelow="0" summaryRight="0"/>
  </sheetPr>
  <dimension ref="A1:I11"/>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8" customWidth="1"/>
  </cols>
  <sheetData>
    <row r="1" spans="1:9" ht="28.5" customHeight="1" thickBot="1" x14ac:dyDescent="0.35">
      <c r="A1" s="19" t="s">
        <v>204</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7" t="s">
        <v>205</v>
      </c>
      <c r="B5" s="57">
        <v>44579</v>
      </c>
      <c r="C5" s="57" t="s">
        <v>32</v>
      </c>
      <c r="D5" s="165" t="s">
        <v>206</v>
      </c>
      <c r="E5" s="166"/>
      <c r="F5" s="166"/>
      <c r="G5" s="166"/>
      <c r="H5" s="166"/>
      <c r="I5" s="58"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13.5" customHeight="1" thickBot="1" x14ac:dyDescent="0.25">
      <c r="A10" s="36">
        <f>HYPERLINK("https://bluetooth.atlassian.net/browse/ES-15808",15808)</f>
        <v>15808</v>
      </c>
      <c r="B10" s="61" t="s">
        <v>207</v>
      </c>
      <c r="C10" s="61" t="s">
        <v>104</v>
      </c>
      <c r="D10" s="68" t="s">
        <v>65</v>
      </c>
      <c r="E10" s="60" t="s">
        <v>59</v>
      </c>
      <c r="F10" s="66">
        <v>1</v>
      </c>
      <c r="G10" s="36">
        <f>HYPERLINK("https://bluetooth.atlassian.net/browse/ES-18077",18077)</f>
        <v>18077</v>
      </c>
      <c r="H10" s="61" t="s">
        <v>60</v>
      </c>
      <c r="I10" s="61"/>
    </row>
    <row r="11" spans="1:9" s="2" customFormat="1" ht="27.6" customHeight="1" thickBot="1" x14ac:dyDescent="0.25">
      <c r="A11" s="47">
        <f>HYPERLINK("https://bluetooth.atlassian.net/browse/ES-16487",16487)</f>
        <v>16487</v>
      </c>
      <c r="B11" s="59" t="s">
        <v>207</v>
      </c>
      <c r="C11" s="59" t="s">
        <v>177</v>
      </c>
      <c r="D11" s="59" t="s">
        <v>46</v>
      </c>
      <c r="E11" s="60" t="s">
        <v>59</v>
      </c>
      <c r="F11" s="63">
        <v>4</v>
      </c>
      <c r="G11" s="50">
        <f>HYPERLINK("https://bluetooth.atlassian.net/browse/ES-16860",16860)</f>
        <v>16860</v>
      </c>
      <c r="H11" s="64" t="s">
        <v>60</v>
      </c>
      <c r="I11" s="59" t="s">
        <v>82</v>
      </c>
    </row>
  </sheetData>
  <mergeCells count="5">
    <mergeCell ref="A2:I2"/>
    <mergeCell ref="A3:I3"/>
    <mergeCell ref="D4:H4"/>
    <mergeCell ref="D5:H5"/>
    <mergeCell ref="A7:B7"/>
  </mergeCells>
  <conditionalFormatting sqref="E10:E11">
    <cfRule type="cellIs" dxfId="3" priority="1" operator="notEqual">
      <formula>"No"</formula>
    </cfRule>
  </conditionalFormatting>
  <dataValidations count="1">
    <dataValidation type="list" allowBlank="1" sqref="E9:H11" xr:uid="{00000000-0002-0000-1300-000000000000}">
      <formula1>#REF!</formula1>
    </dataValidation>
  </dataValidations>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outlinePr summaryBelow="0" summaryRight="0"/>
  </sheetPr>
  <dimension ref="A1:I13"/>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9.140625" customWidth="1"/>
  </cols>
  <sheetData>
    <row r="1" spans="1:9" ht="28.5" customHeight="1" thickBot="1" x14ac:dyDescent="0.35">
      <c r="A1" s="19" t="s">
        <v>208</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7" t="s">
        <v>209</v>
      </c>
      <c r="B5" s="57">
        <v>44579</v>
      </c>
      <c r="C5" s="57" t="s">
        <v>32</v>
      </c>
      <c r="D5" s="165" t="s">
        <v>210</v>
      </c>
      <c r="E5" s="166"/>
      <c r="F5" s="166"/>
      <c r="G5" s="166"/>
      <c r="H5" s="166"/>
      <c r="I5" s="58"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28.5" customHeight="1" thickBot="1" x14ac:dyDescent="0.25">
      <c r="A10" s="36">
        <f>HYPERLINK("https://bluetooth.atlassian.net/browse/ES-14847",14847)</f>
        <v>14847</v>
      </c>
      <c r="B10" s="61" t="s">
        <v>211</v>
      </c>
      <c r="C10" s="61" t="s">
        <v>212</v>
      </c>
      <c r="D10" s="61" t="s">
        <v>65</v>
      </c>
      <c r="E10" s="67" t="s">
        <v>47</v>
      </c>
      <c r="F10" s="66"/>
      <c r="G10" s="36"/>
      <c r="H10" s="49"/>
      <c r="I10" s="49"/>
    </row>
    <row r="11" spans="1:9" s="2" customFormat="1" ht="13.5" customHeight="1" thickBot="1" x14ac:dyDescent="0.25">
      <c r="A11" s="47">
        <f>HYPERLINK("https://bluetooth.atlassian.net/browse/ES-15809",15809)</f>
        <v>15809</v>
      </c>
      <c r="B11" s="59" t="s">
        <v>211</v>
      </c>
      <c r="C11" s="59" t="s">
        <v>104</v>
      </c>
      <c r="D11" s="59" t="s">
        <v>65</v>
      </c>
      <c r="E11" s="60" t="s">
        <v>59</v>
      </c>
      <c r="F11" s="63">
        <v>1</v>
      </c>
      <c r="G11" s="50">
        <f>HYPERLINK("https://bluetooth.atlassian.net/browse/ES-18080",18080)</f>
        <v>18080</v>
      </c>
      <c r="H11" s="64" t="s">
        <v>60</v>
      </c>
      <c r="I11" s="59"/>
    </row>
    <row r="12" spans="1:9" s="2" customFormat="1" ht="26.25" thickBot="1" x14ac:dyDescent="0.25">
      <c r="A12" s="36">
        <f>HYPERLINK("https://bluetooth.atlassian.net/browse/ES-15852",15852)</f>
        <v>15852</v>
      </c>
      <c r="B12" s="61" t="s">
        <v>211</v>
      </c>
      <c r="C12" s="61" t="s">
        <v>213</v>
      </c>
      <c r="D12" s="61" t="s">
        <v>65</v>
      </c>
      <c r="E12" s="60" t="s">
        <v>59</v>
      </c>
      <c r="F12" s="66">
        <v>2</v>
      </c>
      <c r="G12" s="36">
        <f>HYPERLINK("https://bluetooth.atlassian.net/browse/ES-18168",18168)</f>
        <v>18168</v>
      </c>
      <c r="H12" s="61" t="s">
        <v>60</v>
      </c>
      <c r="I12" s="61" t="s">
        <v>214</v>
      </c>
    </row>
    <row r="13" spans="1:9" s="2" customFormat="1" ht="13.5" customHeight="1" thickBot="1" x14ac:dyDescent="0.25">
      <c r="A13" s="47">
        <f>HYPERLINK("https://bluetooth.atlassian.net/browse/ES-16252",16252)</f>
        <v>16252</v>
      </c>
      <c r="B13" s="59" t="s">
        <v>211</v>
      </c>
      <c r="C13" s="59" t="s">
        <v>89</v>
      </c>
      <c r="D13" s="59" t="s">
        <v>95</v>
      </c>
      <c r="E13" s="60" t="s">
        <v>59</v>
      </c>
      <c r="F13" s="63">
        <v>4</v>
      </c>
      <c r="G13" s="50">
        <f>HYPERLINK("https://bluetooth.atlassian.net/browse/ES-16859",16859)</f>
        <v>16859</v>
      </c>
      <c r="H13" s="64" t="s">
        <v>60</v>
      </c>
      <c r="I13" s="59" t="s">
        <v>82</v>
      </c>
    </row>
  </sheetData>
  <mergeCells count="5">
    <mergeCell ref="A2:I2"/>
    <mergeCell ref="A3:I3"/>
    <mergeCell ref="D4:H4"/>
    <mergeCell ref="D5:H5"/>
    <mergeCell ref="A7:B7"/>
  </mergeCells>
  <conditionalFormatting sqref="E10:E13">
    <cfRule type="cellIs" dxfId="2" priority="1" operator="notEqual">
      <formula>"No"</formula>
    </cfRule>
  </conditionalFormatting>
  <dataValidations count="1">
    <dataValidation type="list" allowBlank="1" sqref="E9:H13" xr:uid="{00000000-0002-0000-1400-000000000000}">
      <formula1>#REF!</formula1>
    </dataValidation>
  </dataValidations>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outlinePr summaryBelow="0" summaryRight="0"/>
  </sheetPr>
  <dimension ref="A1:I12"/>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8.140625" customWidth="1"/>
  </cols>
  <sheetData>
    <row r="1" spans="1:9" ht="28.5" customHeight="1" thickBot="1" x14ac:dyDescent="0.35">
      <c r="A1" s="19" t="s">
        <v>215</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4" customFormat="1" ht="104.1" customHeight="1" thickBot="1" x14ac:dyDescent="0.3">
      <c r="A5" s="24" t="s">
        <v>216</v>
      </c>
      <c r="B5" s="24">
        <v>44054</v>
      </c>
      <c r="C5" s="24" t="s">
        <v>32</v>
      </c>
      <c r="D5" s="178" t="s">
        <v>217</v>
      </c>
      <c r="E5" s="179"/>
      <c r="F5" s="179"/>
      <c r="G5" s="179"/>
      <c r="H5" s="179"/>
      <c r="I5" s="30" t="s">
        <v>218</v>
      </c>
    </row>
    <row r="6" spans="1:9" s="4" customFormat="1" ht="15" x14ac:dyDescent="0.25">
      <c r="A6" s="46"/>
      <c r="B6" s="46"/>
      <c r="C6" s="46"/>
      <c r="D6" s="46"/>
      <c r="E6" s="46"/>
      <c r="F6" s="46"/>
      <c r="G6" s="46"/>
      <c r="H6" s="46"/>
      <c r="I6" s="46"/>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27" customHeight="1" thickBot="1" x14ac:dyDescent="0.25">
      <c r="A10" s="36">
        <f>HYPERLINK("https://bluetooth.atlassian.net/browse/ES-7552",7552)</f>
        <v>7552</v>
      </c>
      <c r="B10" s="28" t="s">
        <v>219</v>
      </c>
      <c r="C10" s="28" t="s">
        <v>220</v>
      </c>
      <c r="D10" s="28" t="s">
        <v>80</v>
      </c>
      <c r="E10" s="29" t="s">
        <v>47</v>
      </c>
      <c r="F10" s="28"/>
      <c r="G10" s="36"/>
      <c r="H10" s="28"/>
      <c r="I10" s="28"/>
    </row>
    <row r="11" spans="1:9" ht="15.75" customHeight="1" x14ac:dyDescent="0.2">
      <c r="A11" s="43"/>
      <c r="B11" s="43"/>
      <c r="C11" s="44"/>
      <c r="D11" s="44"/>
      <c r="E11" s="45"/>
      <c r="F11" s="45"/>
      <c r="G11" s="45"/>
      <c r="H11" s="45"/>
      <c r="I11" s="44"/>
    </row>
    <row r="12" spans="1:9" ht="15.75" customHeight="1" x14ac:dyDescent="0.2">
      <c r="A12" s="20"/>
      <c r="B12" s="20"/>
      <c r="C12" s="21"/>
      <c r="D12" s="21"/>
      <c r="E12" s="22"/>
      <c r="F12" s="22"/>
      <c r="G12" s="22"/>
      <c r="H12" s="22"/>
      <c r="I12" s="21"/>
    </row>
  </sheetData>
  <mergeCells count="5">
    <mergeCell ref="A2:I2"/>
    <mergeCell ref="A3:I3"/>
    <mergeCell ref="D4:H4"/>
    <mergeCell ref="D5:H5"/>
    <mergeCell ref="A7:B7"/>
  </mergeCells>
  <conditionalFormatting sqref="E10">
    <cfRule type="cellIs" dxfId="1" priority="1" operator="notEqual">
      <formula>"No"</formula>
    </cfRule>
  </conditionalFormatting>
  <dataValidations count="1">
    <dataValidation type="list" allowBlank="1" sqref="E9:H10" xr:uid="{00000000-0002-0000-1500-000000000000}">
      <formula1>#REF!</formula1>
    </dataValidation>
  </dataValidations>
  <pageMargins left="0.7" right="0.7" top="0.75" bottom="0.75" header="0.3" footer="0.3"/>
  <pageSetup paperSize="9"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B1A0C7"/>
    <outlinePr summaryBelow="0" summaryRight="0"/>
  </sheetPr>
  <dimension ref="A1:I15"/>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6.7109375" customWidth="1"/>
  </cols>
  <sheetData>
    <row r="1" spans="1:9" ht="28.5" customHeight="1" thickBot="1" x14ac:dyDescent="0.35">
      <c r="A1" s="19" t="s">
        <v>221</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4" customFormat="1" ht="81.2" customHeight="1" thickBot="1" x14ac:dyDescent="0.3">
      <c r="A5" s="24" t="s">
        <v>222</v>
      </c>
      <c r="B5" s="24">
        <v>43753</v>
      </c>
      <c r="C5" s="24" t="s">
        <v>32</v>
      </c>
      <c r="D5" s="178" t="s">
        <v>74</v>
      </c>
      <c r="E5" s="179"/>
      <c r="F5" s="179"/>
      <c r="G5" s="179"/>
      <c r="H5" s="179"/>
      <c r="I5" s="30" t="s">
        <v>223</v>
      </c>
    </row>
    <row r="6" spans="1:9" s="4" customFormat="1" ht="18.75" customHeight="1" thickBot="1" x14ac:dyDescent="0.3">
      <c r="A6" s="104" t="s">
        <v>224</v>
      </c>
      <c r="B6" s="104">
        <v>45454</v>
      </c>
      <c r="C6" s="104" t="s">
        <v>32</v>
      </c>
      <c r="D6" s="173" t="s">
        <v>225</v>
      </c>
      <c r="E6" s="174"/>
      <c r="F6" s="174"/>
      <c r="G6" s="174"/>
      <c r="H6" s="174"/>
      <c r="I6" s="96" t="s">
        <v>53</v>
      </c>
    </row>
    <row r="7" spans="1:9" s="4" customFormat="1" ht="15" x14ac:dyDescent="0.25">
      <c r="A7" s="35"/>
      <c r="B7" s="35"/>
      <c r="C7" s="35"/>
      <c r="D7" s="35"/>
      <c r="E7" s="35"/>
      <c r="F7" s="35"/>
      <c r="G7" s="35"/>
      <c r="H7" s="35"/>
      <c r="I7" s="35"/>
    </row>
    <row r="8" spans="1:9" ht="21" customHeight="1" x14ac:dyDescent="0.2">
      <c r="A8" s="167" t="s">
        <v>34</v>
      </c>
      <c r="B8" s="167"/>
      <c r="C8" s="31"/>
      <c r="D8" s="31"/>
      <c r="E8" s="32"/>
      <c r="F8" s="32"/>
      <c r="G8" s="32"/>
      <c r="H8" s="32"/>
      <c r="I8" s="31"/>
    </row>
    <row r="9" spans="1:9" ht="21" customHeight="1" thickBot="1" x14ac:dyDescent="0.25">
      <c r="A9" s="97" t="s">
        <v>35</v>
      </c>
      <c r="B9" s="23"/>
      <c r="C9" s="25"/>
      <c r="D9" s="31"/>
      <c r="E9" s="32"/>
      <c r="F9" s="32"/>
      <c r="G9" s="32"/>
      <c r="H9" s="32"/>
      <c r="I9" s="31"/>
    </row>
    <row r="10" spans="1:9" s="2" customFormat="1" ht="27" customHeight="1" thickBot="1" x14ac:dyDescent="0.25">
      <c r="A10" s="134" t="s">
        <v>36</v>
      </c>
      <c r="B10" s="134" t="s">
        <v>37</v>
      </c>
      <c r="C10" s="135" t="s">
        <v>38</v>
      </c>
      <c r="D10" s="128" t="s">
        <v>39</v>
      </c>
      <c r="E10" s="136" t="s">
        <v>1</v>
      </c>
      <c r="F10" s="128" t="s">
        <v>40</v>
      </c>
      <c r="G10" s="136" t="s">
        <v>41</v>
      </c>
      <c r="H10" s="136" t="s">
        <v>42</v>
      </c>
      <c r="I10" s="135" t="s">
        <v>43</v>
      </c>
    </row>
    <row r="11" spans="1:9" s="2" customFormat="1" ht="26.25" thickBot="1" x14ac:dyDescent="0.25">
      <c r="A11" s="105">
        <f>HYPERLINK("https://bluetooth.atlassian.net/browse/ES-13106",13106)</f>
        <v>13106</v>
      </c>
      <c r="B11" s="106" t="s">
        <v>226</v>
      </c>
      <c r="C11" s="106" t="s">
        <v>227</v>
      </c>
      <c r="D11" s="106" t="s">
        <v>65</v>
      </c>
      <c r="E11" s="107" t="s">
        <v>47</v>
      </c>
      <c r="F11" s="108"/>
      <c r="G11" s="109"/>
      <c r="H11" s="110"/>
      <c r="I11" s="111"/>
    </row>
    <row r="12" spans="1:9" s="2" customFormat="1" ht="38.25" x14ac:dyDescent="0.2">
      <c r="A12" s="112">
        <f>HYPERLINK("https://bluetooth.atlassian.net/browse/ES-16253",16253)</f>
        <v>16253</v>
      </c>
      <c r="B12" s="113" t="s">
        <v>226</v>
      </c>
      <c r="C12" s="113" t="s">
        <v>45</v>
      </c>
      <c r="D12" s="114" t="s">
        <v>62</v>
      </c>
      <c r="E12" s="115" t="s">
        <v>59</v>
      </c>
      <c r="F12" s="116">
        <v>1</v>
      </c>
      <c r="G12" s="117">
        <f>HYPERLINK("https://bluetooth.atlassian.net/browse/ES-18101",18101)</f>
        <v>18101</v>
      </c>
      <c r="H12" s="118" t="s">
        <v>60</v>
      </c>
      <c r="I12" s="119" t="s">
        <v>63</v>
      </c>
    </row>
    <row r="13" spans="1:9" s="2" customFormat="1" ht="13.5" customHeight="1" x14ac:dyDescent="0.2">
      <c r="A13" s="105">
        <f>HYPERLINK("https://bluetooth.atlassian.net/browse/ES-18758",18758)</f>
        <v>18758</v>
      </c>
      <c r="B13" s="106" t="s">
        <v>226</v>
      </c>
      <c r="C13" s="106" t="s">
        <v>64</v>
      </c>
      <c r="D13" s="120" t="s">
        <v>65</v>
      </c>
      <c r="E13" s="107" t="s">
        <v>47</v>
      </c>
      <c r="F13" s="108"/>
      <c r="G13" s="109"/>
      <c r="H13" s="110"/>
      <c r="I13" s="111"/>
    </row>
    <row r="14" spans="1:9" s="2" customFormat="1" ht="25.5" x14ac:dyDescent="0.2">
      <c r="A14" s="112">
        <f>HYPERLINK("https://bluetooth.atlassian.net/browse/ES-22599",22599)</f>
        <v>22599</v>
      </c>
      <c r="B14" s="113" t="s">
        <v>226</v>
      </c>
      <c r="C14" s="113" t="s">
        <v>140</v>
      </c>
      <c r="D14" s="113" t="s">
        <v>65</v>
      </c>
      <c r="E14" s="115" t="s">
        <v>47</v>
      </c>
      <c r="F14" s="121"/>
      <c r="G14" s="122"/>
      <c r="H14" s="122"/>
      <c r="I14" s="123"/>
    </row>
    <row r="15" spans="1:9" s="2" customFormat="1" ht="25.5" x14ac:dyDescent="0.2">
      <c r="A15" s="105">
        <f>HYPERLINK("https://bluetooth.atlassian.net/browse/ES-23320",23320)</f>
        <v>23320</v>
      </c>
      <c r="B15" s="106" t="s">
        <v>226</v>
      </c>
      <c r="C15" s="106" t="s">
        <v>68</v>
      </c>
      <c r="D15" s="120" t="s">
        <v>65</v>
      </c>
      <c r="E15" s="107" t="s">
        <v>47</v>
      </c>
      <c r="F15" s="124"/>
      <c r="G15" s="105"/>
      <c r="H15" s="106"/>
      <c r="I15" s="106"/>
    </row>
  </sheetData>
  <mergeCells count="6">
    <mergeCell ref="A2:I2"/>
    <mergeCell ref="A3:I3"/>
    <mergeCell ref="D4:H4"/>
    <mergeCell ref="D5:H5"/>
    <mergeCell ref="A8:B8"/>
    <mergeCell ref="D6:H6"/>
  </mergeCells>
  <conditionalFormatting sqref="E11:E15">
    <cfRule type="cellIs" dxfId="0" priority="2" operator="notEqual">
      <formula>"No"</formula>
    </cfRule>
  </conditionalFormatting>
  <dataValidations count="1">
    <dataValidation type="list" allowBlank="1" sqref="E10:H15" xr:uid="{55E9E781-BB42-4B01-B6E9-4F68505DA4C5}">
      <formula1>#REF!</formula1>
    </dataValidation>
  </dataValidation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4CE61-1413-409B-AEEF-ADE4A5779D3D}">
  <sheetPr>
    <tabColor rgb="FFB1A0C7"/>
    <outlinePr summaryBelow="0" summaryRight="0"/>
  </sheetPr>
  <dimension ref="A1:I15"/>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6.140625" customWidth="1"/>
  </cols>
  <sheetData>
    <row r="1" spans="1:9" ht="28.5" customHeight="1" thickBot="1" x14ac:dyDescent="0.35">
      <c r="A1" s="95" t="s">
        <v>48</v>
      </c>
      <c r="B1" s="25"/>
      <c r="C1" s="31"/>
      <c r="D1" s="31"/>
      <c r="E1" s="32"/>
      <c r="F1" s="32"/>
      <c r="G1" s="32"/>
      <c r="H1" s="32"/>
      <c r="I1" s="31"/>
    </row>
    <row r="2" spans="1:9" ht="66.75" customHeight="1" thickBot="1" x14ac:dyDescent="0.25">
      <c r="A2" s="168" t="s">
        <v>49</v>
      </c>
      <c r="B2" s="169"/>
      <c r="C2" s="169"/>
      <c r="D2" s="169"/>
      <c r="E2" s="169"/>
      <c r="F2" s="169"/>
      <c r="G2" s="169"/>
      <c r="H2" s="169"/>
      <c r="I2" s="170"/>
    </row>
    <row r="3" spans="1:9" ht="51.95" customHeight="1" thickBot="1" x14ac:dyDescent="0.25">
      <c r="A3" s="168" t="s">
        <v>25</v>
      </c>
      <c r="B3" s="169"/>
      <c r="C3" s="169"/>
      <c r="D3" s="169"/>
      <c r="E3" s="169"/>
      <c r="F3" s="169"/>
      <c r="G3" s="169"/>
      <c r="H3" s="169"/>
      <c r="I3" s="169"/>
    </row>
    <row r="4" spans="1:9" s="4" customFormat="1" ht="30.75" customHeight="1" thickBot="1" x14ac:dyDescent="0.3">
      <c r="A4" s="98" t="s">
        <v>50</v>
      </c>
      <c r="B4" s="99" t="s">
        <v>27</v>
      </c>
      <c r="C4" s="98" t="s">
        <v>28</v>
      </c>
      <c r="D4" s="171" t="s">
        <v>29</v>
      </c>
      <c r="E4" s="172"/>
      <c r="F4" s="172"/>
      <c r="G4" s="172"/>
      <c r="H4" s="172"/>
      <c r="I4" s="100" t="s">
        <v>30</v>
      </c>
    </row>
    <row r="5" spans="1:9" s="4" customFormat="1" ht="15" x14ac:dyDescent="0.25">
      <c r="A5" s="104" t="s">
        <v>51</v>
      </c>
      <c r="B5" s="104">
        <v>45454</v>
      </c>
      <c r="C5" s="104" t="s">
        <v>32</v>
      </c>
      <c r="D5" s="173" t="s">
        <v>52</v>
      </c>
      <c r="E5" s="174"/>
      <c r="F5" s="174"/>
      <c r="G5" s="174"/>
      <c r="H5" s="174"/>
      <c r="I5" s="96" t="s">
        <v>53</v>
      </c>
    </row>
    <row r="6" spans="1:9" s="4" customFormat="1" ht="15" x14ac:dyDescent="0.25">
      <c r="A6" s="125"/>
      <c r="B6" s="125"/>
      <c r="C6" s="125"/>
      <c r="D6" s="125"/>
      <c r="E6" s="125"/>
      <c r="F6" s="125"/>
      <c r="G6" s="125"/>
      <c r="H6" s="125"/>
      <c r="I6" s="125"/>
    </row>
    <row r="7" spans="1:9" ht="21" customHeight="1" x14ac:dyDescent="0.2">
      <c r="A7" s="175" t="s">
        <v>34</v>
      </c>
      <c r="B7" s="175"/>
      <c r="C7" s="126"/>
      <c r="D7" s="126"/>
      <c r="E7" s="101"/>
      <c r="F7" s="101"/>
      <c r="G7" s="101"/>
      <c r="H7" s="101"/>
      <c r="I7" s="126"/>
    </row>
    <row r="8" spans="1:9" ht="21" customHeight="1" x14ac:dyDescent="0.2">
      <c r="A8" s="97" t="s">
        <v>54</v>
      </c>
      <c r="B8" s="102"/>
      <c r="C8" s="97"/>
      <c r="D8" s="126"/>
      <c r="E8" s="101"/>
      <c r="F8" s="101"/>
      <c r="G8" s="101"/>
      <c r="H8" s="101"/>
      <c r="I8" s="126"/>
    </row>
    <row r="9" spans="1:9" s="2" customFormat="1" ht="24.75" customHeight="1" x14ac:dyDescent="0.2">
      <c r="A9" s="127" t="s">
        <v>36</v>
      </c>
      <c r="B9" s="127" t="s">
        <v>37</v>
      </c>
      <c r="C9" s="128" t="s">
        <v>38</v>
      </c>
      <c r="D9" s="128" t="s">
        <v>39</v>
      </c>
      <c r="E9" s="129" t="s">
        <v>1</v>
      </c>
      <c r="F9" s="128" t="s">
        <v>55</v>
      </c>
      <c r="G9" s="129" t="s">
        <v>41</v>
      </c>
      <c r="H9" s="129" t="s">
        <v>42</v>
      </c>
      <c r="I9" s="128" t="s">
        <v>43</v>
      </c>
    </row>
    <row r="10" spans="1:9" s="2" customFormat="1" ht="13.5" customHeight="1" x14ac:dyDescent="0.2">
      <c r="A10" s="105">
        <f>HYPERLINK("https://bluetooth.atlassian.net/browse/ES-16256",16256)</f>
        <v>16256</v>
      </c>
      <c r="B10" s="106" t="s">
        <v>56</v>
      </c>
      <c r="C10" s="106" t="s">
        <v>57</v>
      </c>
      <c r="D10" s="106" t="s">
        <v>58</v>
      </c>
      <c r="E10" s="133" t="s">
        <v>59</v>
      </c>
      <c r="F10" s="124">
        <v>4</v>
      </c>
      <c r="G10" s="105">
        <f>HYPERLINK("https://bluetooth.atlassian.net/browse/ES-16705",16705)</f>
        <v>16705</v>
      </c>
      <c r="H10" s="106" t="s">
        <v>60</v>
      </c>
      <c r="I10" s="106" t="s">
        <v>61</v>
      </c>
    </row>
    <row r="11" spans="1:9" s="2" customFormat="1" ht="38.25" x14ac:dyDescent="0.2">
      <c r="A11" s="112">
        <f>HYPERLINK("https://bluetooth.atlassian.net/browse/ES-16257",16257)</f>
        <v>16257</v>
      </c>
      <c r="B11" s="113" t="s">
        <v>56</v>
      </c>
      <c r="C11" s="113" t="s">
        <v>45</v>
      </c>
      <c r="D11" s="113" t="s">
        <v>62</v>
      </c>
      <c r="E11" s="115" t="s">
        <v>59</v>
      </c>
      <c r="F11" s="130">
        <v>1</v>
      </c>
      <c r="G11" s="131">
        <f>HYPERLINK("https://bluetooth.atlassian.net/browse/ES-18101",18101)</f>
        <v>18101</v>
      </c>
      <c r="H11" s="132" t="s">
        <v>60</v>
      </c>
      <c r="I11" s="113" t="s">
        <v>63</v>
      </c>
    </row>
    <row r="12" spans="1:9" s="2" customFormat="1" ht="13.5" customHeight="1" x14ac:dyDescent="0.2">
      <c r="A12" s="105">
        <f>HYPERLINK("https://bluetooth.atlassian.net/browse/ES-18743",18743)</f>
        <v>18743</v>
      </c>
      <c r="B12" s="106" t="s">
        <v>56</v>
      </c>
      <c r="C12" s="106" t="s">
        <v>64</v>
      </c>
      <c r="D12" s="106" t="s">
        <v>65</v>
      </c>
      <c r="E12" s="107" t="s">
        <v>47</v>
      </c>
      <c r="F12" s="124"/>
      <c r="G12" s="105"/>
      <c r="H12" s="106"/>
      <c r="I12" s="106"/>
    </row>
    <row r="13" spans="1:9" s="2" customFormat="1" ht="13.5" customHeight="1" x14ac:dyDescent="0.2">
      <c r="A13" s="112">
        <f>HYPERLINK("https://bluetooth.atlassian.net/browse/ES-18955",18955)</f>
        <v>18955</v>
      </c>
      <c r="B13" s="113" t="s">
        <v>56</v>
      </c>
      <c r="C13" s="113" t="s">
        <v>66</v>
      </c>
      <c r="D13" s="113" t="s">
        <v>65</v>
      </c>
      <c r="E13" s="115" t="s">
        <v>47</v>
      </c>
      <c r="F13" s="121"/>
      <c r="G13" s="122"/>
      <c r="H13" s="122"/>
      <c r="I13" s="123"/>
    </row>
    <row r="14" spans="1:9" s="2" customFormat="1" ht="25.5" x14ac:dyDescent="0.2">
      <c r="A14" s="105">
        <f>HYPERLINK("https://bluetooth.atlassian.net/browse/ES-22309",22309)</f>
        <v>22309</v>
      </c>
      <c r="B14" s="106" t="s">
        <v>56</v>
      </c>
      <c r="C14" s="106" t="s">
        <v>67</v>
      </c>
      <c r="D14" s="106" t="s">
        <v>65</v>
      </c>
      <c r="E14" s="107" t="s">
        <v>47</v>
      </c>
      <c r="F14" s="124"/>
      <c r="G14" s="105"/>
      <c r="H14" s="106"/>
      <c r="I14" s="106"/>
    </row>
    <row r="15" spans="1:9" s="2" customFormat="1" ht="25.5" x14ac:dyDescent="0.2">
      <c r="A15" s="112">
        <f>HYPERLINK("https://bluetooth.atlassian.net/browse/ES-23312",23312)</f>
        <v>23312</v>
      </c>
      <c r="B15" s="113" t="s">
        <v>56</v>
      </c>
      <c r="C15" s="113" t="s">
        <v>68</v>
      </c>
      <c r="D15" s="113" t="s">
        <v>65</v>
      </c>
      <c r="E15" s="115" t="s">
        <v>47</v>
      </c>
      <c r="F15" s="121"/>
      <c r="G15" s="122"/>
      <c r="H15" s="122"/>
      <c r="I15" s="123"/>
    </row>
  </sheetData>
  <mergeCells count="5">
    <mergeCell ref="A2:I2"/>
    <mergeCell ref="A3:I3"/>
    <mergeCell ref="D4:H4"/>
    <mergeCell ref="D5:H5"/>
    <mergeCell ref="A7:B7"/>
  </mergeCells>
  <conditionalFormatting sqref="E10:E15">
    <cfRule type="cellIs" dxfId="23" priority="1" operator="notEqual">
      <formula>"No"</formula>
    </cfRule>
  </conditionalFormatting>
  <dataValidations disablePrompts="1" count="1">
    <dataValidation type="list" allowBlank="1" sqref="H10 E10:E15 F10 F11:H15 E9:H9" xr:uid="{B69A472F-40BF-4506-9022-7213F69C9106}">
      <formula1>#REF!</formula1>
    </dataValidation>
  </dataValidation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15"/>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50.140625" customWidth="1"/>
  </cols>
  <sheetData>
    <row r="1" spans="1:9" ht="28.5" customHeight="1" thickBot="1" x14ac:dyDescent="0.35">
      <c r="A1" s="19" t="s">
        <v>69</v>
      </c>
      <c r="B1" s="25"/>
      <c r="C1" s="31"/>
      <c r="D1" s="31"/>
      <c r="E1" s="32"/>
      <c r="F1" s="32"/>
      <c r="G1" s="32"/>
      <c r="H1" s="32"/>
      <c r="I1" s="31"/>
    </row>
    <row r="2" spans="1:9" ht="66.7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30.95" customHeight="1" thickBot="1" x14ac:dyDescent="0.3">
      <c r="A4" s="37" t="s">
        <v>26</v>
      </c>
      <c r="B4" s="38" t="s">
        <v>27</v>
      </c>
      <c r="C4" s="37" t="s">
        <v>28</v>
      </c>
      <c r="D4" s="163" t="s">
        <v>29</v>
      </c>
      <c r="E4" s="164"/>
      <c r="F4" s="164"/>
      <c r="G4" s="164"/>
      <c r="H4" s="164"/>
      <c r="I4" s="39" t="s">
        <v>30</v>
      </c>
    </row>
    <row r="5" spans="1:9" s="56" customFormat="1" ht="13.5" customHeight="1" thickBot="1" x14ac:dyDescent="0.25">
      <c r="A5" s="54" t="s">
        <v>70</v>
      </c>
      <c r="B5" s="54">
        <v>43480</v>
      </c>
      <c r="C5" s="54" t="s">
        <v>32</v>
      </c>
      <c r="D5" s="176" t="s">
        <v>71</v>
      </c>
      <c r="E5" s="177"/>
      <c r="F5" s="177"/>
      <c r="G5" s="177"/>
      <c r="H5" s="177"/>
      <c r="I5" s="55" t="s">
        <v>53</v>
      </c>
    </row>
    <row r="6" spans="1:9" s="4" customFormat="1" ht="91.5" customHeight="1" thickBot="1" x14ac:dyDescent="0.3">
      <c r="A6" s="24" t="s">
        <v>72</v>
      </c>
      <c r="B6" s="24">
        <v>44180</v>
      </c>
      <c r="C6" s="78" t="s">
        <v>73</v>
      </c>
      <c r="D6" s="178" t="s">
        <v>74</v>
      </c>
      <c r="E6" s="179"/>
      <c r="F6" s="179"/>
      <c r="G6" s="179"/>
      <c r="H6" s="179"/>
      <c r="I6" s="30" t="s">
        <v>75</v>
      </c>
    </row>
    <row r="7" spans="1:9" s="56" customFormat="1" ht="13.5" customHeight="1" thickBot="1" x14ac:dyDescent="0.25">
      <c r="A7" s="57" t="s">
        <v>76</v>
      </c>
      <c r="B7" s="57">
        <v>44579</v>
      </c>
      <c r="C7" s="57" t="s">
        <v>32</v>
      </c>
      <c r="D7" s="165" t="s">
        <v>77</v>
      </c>
      <c r="E7" s="166"/>
      <c r="F7" s="166"/>
      <c r="G7" s="166"/>
      <c r="H7" s="166"/>
      <c r="I7" s="58" t="s">
        <v>53</v>
      </c>
    </row>
    <row r="8" spans="1:9" s="4" customFormat="1" ht="15" x14ac:dyDescent="0.25">
      <c r="A8" s="35"/>
      <c r="B8" s="35"/>
      <c r="C8" s="35"/>
      <c r="D8" s="35"/>
      <c r="E8" s="35"/>
      <c r="F8" s="35"/>
      <c r="G8" s="35"/>
      <c r="H8" s="35"/>
      <c r="I8" s="35"/>
    </row>
    <row r="9" spans="1:9" ht="21" customHeight="1" x14ac:dyDescent="0.2">
      <c r="A9" s="167" t="s">
        <v>34</v>
      </c>
      <c r="B9" s="167"/>
      <c r="C9" s="31"/>
      <c r="D9" s="31"/>
      <c r="E9" s="32"/>
      <c r="F9" s="32"/>
      <c r="G9" s="32"/>
      <c r="H9" s="32"/>
      <c r="I9" s="31"/>
    </row>
    <row r="10" spans="1:9" ht="21" customHeight="1" thickBot="1" x14ac:dyDescent="0.25">
      <c r="A10" s="97" t="s">
        <v>35</v>
      </c>
      <c r="B10" s="23"/>
      <c r="C10" s="25"/>
      <c r="D10" s="31"/>
      <c r="E10" s="32"/>
      <c r="F10" s="32"/>
      <c r="G10" s="32"/>
      <c r="H10" s="32"/>
      <c r="I10" s="31"/>
    </row>
    <row r="11" spans="1:9" s="2" customFormat="1" ht="27" customHeight="1" thickBot="1" x14ac:dyDescent="0.25">
      <c r="A11" s="134" t="s">
        <v>36</v>
      </c>
      <c r="B11" s="134" t="s">
        <v>37</v>
      </c>
      <c r="C11" s="135" t="s">
        <v>38</v>
      </c>
      <c r="D11" s="128" t="s">
        <v>39</v>
      </c>
      <c r="E11" s="136" t="s">
        <v>1</v>
      </c>
      <c r="F11" s="128" t="s">
        <v>40</v>
      </c>
      <c r="G11" s="136" t="s">
        <v>41</v>
      </c>
      <c r="H11" s="136" t="s">
        <v>42</v>
      </c>
      <c r="I11" s="135" t="s">
        <v>43</v>
      </c>
    </row>
    <row r="12" spans="1:9" s="2" customFormat="1" ht="27.75" customHeight="1" thickBot="1" x14ac:dyDescent="0.25">
      <c r="A12" s="36">
        <f>HYPERLINK("https://bluetooth.atlassian.net/browse/ES-9145",9145)</f>
        <v>9145</v>
      </c>
      <c r="B12" s="28" t="s">
        <v>78</v>
      </c>
      <c r="C12" s="28" t="s">
        <v>79</v>
      </c>
      <c r="D12" s="28" t="s">
        <v>80</v>
      </c>
      <c r="E12" s="29" t="s">
        <v>47</v>
      </c>
      <c r="F12" s="28"/>
      <c r="G12" s="36"/>
      <c r="H12" s="28"/>
      <c r="I12" s="28"/>
    </row>
    <row r="13" spans="1:9" s="2" customFormat="1" ht="13.5" customHeight="1" thickBot="1" x14ac:dyDescent="0.25">
      <c r="A13" s="47">
        <f>HYPERLINK("https://bluetooth.atlassian.net/browse/ES-16360",16360)</f>
        <v>16360</v>
      </c>
      <c r="B13" s="59" t="s">
        <v>72</v>
      </c>
      <c r="C13" s="59" t="s">
        <v>81</v>
      </c>
      <c r="D13" s="59" t="s">
        <v>46</v>
      </c>
      <c r="E13" s="60" t="s">
        <v>59</v>
      </c>
      <c r="F13" s="63">
        <v>4</v>
      </c>
      <c r="G13" s="50">
        <f>HYPERLINK("https://bluetooth.atlassian.net/browse/ES-16863",16863)</f>
        <v>16863</v>
      </c>
      <c r="H13" s="64" t="s">
        <v>60</v>
      </c>
      <c r="I13" s="59" t="s">
        <v>82</v>
      </c>
    </row>
    <row r="14" spans="1:9" s="2" customFormat="1" ht="13.5" customHeight="1" thickBot="1" x14ac:dyDescent="0.25">
      <c r="A14" s="36">
        <f>HYPERLINK("https://bluetooth.atlassian.net/browse/ES-17631",17631)</f>
        <v>17631</v>
      </c>
      <c r="B14" s="61" t="s">
        <v>72</v>
      </c>
      <c r="C14" s="61" t="s">
        <v>83</v>
      </c>
      <c r="D14" s="61" t="s">
        <v>65</v>
      </c>
      <c r="E14" s="62" t="s">
        <v>47</v>
      </c>
      <c r="F14" s="52"/>
      <c r="G14" s="36"/>
      <c r="H14" s="49"/>
      <c r="I14" s="49"/>
    </row>
    <row r="15" spans="1:9" s="2" customFormat="1" ht="13.5" customHeight="1" thickBot="1" x14ac:dyDescent="0.25">
      <c r="A15" s="47">
        <f>HYPERLINK("https://bluetooth.atlassian.net/browse/ES-17658",17658)</f>
        <v>17658</v>
      </c>
      <c r="B15" s="59" t="s">
        <v>72</v>
      </c>
      <c r="C15" s="59" t="s">
        <v>84</v>
      </c>
      <c r="D15" s="59" t="s">
        <v>65</v>
      </c>
      <c r="E15" s="60" t="s">
        <v>47</v>
      </c>
      <c r="F15" s="41"/>
      <c r="G15" s="42"/>
      <c r="H15" s="42"/>
      <c r="I15" s="40"/>
    </row>
  </sheetData>
  <mergeCells count="7">
    <mergeCell ref="A9:B9"/>
    <mergeCell ref="A2:I2"/>
    <mergeCell ref="A3:I3"/>
    <mergeCell ref="D4:H4"/>
    <mergeCell ref="D5:H5"/>
    <mergeCell ref="D6:H6"/>
    <mergeCell ref="D7:H7"/>
  </mergeCells>
  <conditionalFormatting sqref="E12:E15">
    <cfRule type="cellIs" dxfId="22" priority="1" operator="notEqual">
      <formula>"No"</formula>
    </cfRule>
  </conditionalFormatting>
  <dataValidations count="1">
    <dataValidation type="list" allowBlank="1" sqref="E11:H15" xr:uid="{00000000-0002-0000-0200-000000000000}">
      <formula1>#REF!</formula1>
    </dataValidation>
  </dataValidation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I12"/>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8.7109375" customWidth="1"/>
    <col min="5" max="5" width="14.42578125" style="3" customWidth="1"/>
    <col min="6" max="6" width="11.28515625" style="3" customWidth="1"/>
    <col min="7" max="7" width="9.7109375" style="3" customWidth="1"/>
    <col min="8" max="8" width="14.42578125" style="3" customWidth="1"/>
    <col min="9" max="9" width="49.28515625" customWidth="1"/>
  </cols>
  <sheetData>
    <row r="1" spans="1:9" ht="28.5" customHeight="1" thickBot="1" x14ac:dyDescent="0.35">
      <c r="A1" s="19" t="s">
        <v>85</v>
      </c>
      <c r="B1" s="25"/>
      <c r="C1" s="31"/>
      <c r="D1" s="31"/>
      <c r="E1" s="32"/>
      <c r="F1" s="32"/>
      <c r="G1" s="32"/>
      <c r="H1" s="32"/>
      <c r="I1" s="31"/>
    </row>
    <row r="2" spans="1:9" ht="66.7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30.95" customHeight="1" thickBot="1" x14ac:dyDescent="0.3">
      <c r="A4" s="37" t="s">
        <v>26</v>
      </c>
      <c r="B4" s="34" t="s">
        <v>27</v>
      </c>
      <c r="C4" s="33" t="s">
        <v>28</v>
      </c>
      <c r="D4" s="180" t="s">
        <v>29</v>
      </c>
      <c r="E4" s="181"/>
      <c r="F4" s="181"/>
      <c r="G4" s="181"/>
      <c r="H4" s="181"/>
      <c r="I4" s="39" t="s">
        <v>30</v>
      </c>
    </row>
    <row r="5" spans="1:9" s="4" customFormat="1" ht="117.6" customHeight="1" thickBot="1" x14ac:dyDescent="0.3">
      <c r="A5" s="24" t="s">
        <v>86</v>
      </c>
      <c r="B5" s="24">
        <v>44180</v>
      </c>
      <c r="C5" s="78" t="s">
        <v>73</v>
      </c>
      <c r="D5" s="178" t="s">
        <v>74</v>
      </c>
      <c r="E5" s="179"/>
      <c r="F5" s="179"/>
      <c r="G5" s="179"/>
      <c r="H5" s="179"/>
      <c r="I5" s="30" t="s">
        <v>87</v>
      </c>
    </row>
    <row r="6" spans="1:9" s="56" customFormat="1" ht="13.5" customHeight="1" thickBot="1" x14ac:dyDescent="0.25">
      <c r="A6" s="57" t="s">
        <v>88</v>
      </c>
      <c r="B6" s="57">
        <v>44579</v>
      </c>
      <c r="C6" s="57" t="s">
        <v>32</v>
      </c>
      <c r="D6" s="165">
        <v>16461</v>
      </c>
      <c r="E6" s="166"/>
      <c r="F6" s="166"/>
      <c r="G6" s="166"/>
      <c r="H6" s="166"/>
      <c r="I6" s="58" t="s">
        <v>53</v>
      </c>
    </row>
    <row r="7" spans="1:9" s="4" customFormat="1" ht="15" x14ac:dyDescent="0.25">
      <c r="A7" s="35"/>
      <c r="B7" s="35"/>
      <c r="C7" s="35"/>
      <c r="D7" s="35"/>
      <c r="E7" s="35"/>
      <c r="F7" s="35"/>
      <c r="G7" s="35"/>
      <c r="H7" s="35"/>
      <c r="I7" s="35"/>
    </row>
    <row r="8" spans="1:9" ht="21" customHeight="1" x14ac:dyDescent="0.2">
      <c r="A8" s="167" t="s">
        <v>34</v>
      </c>
      <c r="B8" s="167"/>
      <c r="C8" s="31"/>
      <c r="D8" s="31"/>
      <c r="E8" s="32"/>
      <c r="F8" s="32"/>
      <c r="G8" s="32"/>
      <c r="H8" s="32"/>
      <c r="I8" s="31"/>
    </row>
    <row r="9" spans="1:9" ht="21" customHeight="1" thickBot="1" x14ac:dyDescent="0.25">
      <c r="A9" s="97" t="s">
        <v>35</v>
      </c>
      <c r="B9" s="23"/>
      <c r="C9" s="25"/>
      <c r="D9" s="31"/>
      <c r="E9" s="32"/>
      <c r="F9" s="32"/>
      <c r="G9" s="32"/>
      <c r="H9" s="32"/>
      <c r="I9" s="31"/>
    </row>
    <row r="10" spans="1:9" s="2" customFormat="1" ht="27" customHeight="1" thickBot="1" x14ac:dyDescent="0.25">
      <c r="A10" s="134" t="s">
        <v>36</v>
      </c>
      <c r="B10" s="134" t="s">
        <v>37</v>
      </c>
      <c r="C10" s="135" t="s">
        <v>38</v>
      </c>
      <c r="D10" s="128" t="s">
        <v>39</v>
      </c>
      <c r="E10" s="136" t="s">
        <v>1</v>
      </c>
      <c r="F10" s="128" t="s">
        <v>40</v>
      </c>
      <c r="G10" s="136" t="s">
        <v>41</v>
      </c>
      <c r="H10" s="136" t="s">
        <v>42</v>
      </c>
      <c r="I10" s="135" t="s">
        <v>43</v>
      </c>
    </row>
    <row r="11" spans="1:9" s="2" customFormat="1" ht="13.5" customHeight="1" thickBot="1" x14ac:dyDescent="0.25">
      <c r="A11" s="36">
        <f>HYPERLINK("https://bluetooth.atlassian.net/browse/ES-16461",16461)</f>
        <v>16461</v>
      </c>
      <c r="B11" s="61" t="s">
        <v>86</v>
      </c>
      <c r="C11" s="61" t="s">
        <v>89</v>
      </c>
      <c r="D11" s="61" t="s">
        <v>90</v>
      </c>
      <c r="E11" s="65" t="s">
        <v>59</v>
      </c>
      <c r="F11" s="66">
        <v>4</v>
      </c>
      <c r="G11" s="36">
        <f>HYPERLINK("https://bluetooth.atlassian.net/browse/ES-16862",16862)</f>
        <v>16862</v>
      </c>
      <c r="H11" s="61" t="s">
        <v>60</v>
      </c>
      <c r="I11" s="61" t="s">
        <v>82</v>
      </c>
    </row>
    <row r="12" spans="1:9" ht="15.75" customHeight="1" x14ac:dyDescent="0.2">
      <c r="A12" s="20"/>
      <c r="B12" s="20"/>
      <c r="C12" s="21"/>
      <c r="D12" s="21"/>
      <c r="E12" s="22"/>
      <c r="F12" s="22"/>
      <c r="G12" s="22"/>
      <c r="H12" s="22"/>
      <c r="I12" s="21"/>
    </row>
  </sheetData>
  <mergeCells count="6">
    <mergeCell ref="A2:I2"/>
    <mergeCell ref="A3:I3"/>
    <mergeCell ref="D4:H4"/>
    <mergeCell ref="D5:H5"/>
    <mergeCell ref="A8:B8"/>
    <mergeCell ref="D6:H6"/>
  </mergeCells>
  <conditionalFormatting sqref="E11">
    <cfRule type="cellIs" dxfId="21" priority="1" operator="notEqual">
      <formula>"No"</formula>
    </cfRule>
  </conditionalFormatting>
  <dataValidations count="1">
    <dataValidation type="list" allowBlank="1" sqref="E10:H11" xr:uid="{00000000-0002-0000-0300-000000000000}">
      <formula1>#REF!</formula1>
    </dataValidation>
  </dataValidation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I12"/>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50.140625" customWidth="1"/>
  </cols>
  <sheetData>
    <row r="1" spans="1:9" ht="28.5" customHeight="1" thickBot="1" x14ac:dyDescent="0.35">
      <c r="A1" s="19" t="s">
        <v>91</v>
      </c>
      <c r="B1" s="25"/>
      <c r="C1" s="31"/>
      <c r="D1" s="31"/>
      <c r="E1" s="32"/>
      <c r="F1" s="32"/>
      <c r="G1" s="32"/>
      <c r="H1" s="32"/>
      <c r="I1" s="31"/>
    </row>
    <row r="2" spans="1:9" ht="66.7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7" t="s">
        <v>92</v>
      </c>
      <c r="B5" s="57">
        <v>44579</v>
      </c>
      <c r="C5" s="57" t="s">
        <v>32</v>
      </c>
      <c r="D5" s="165" t="s">
        <v>93</v>
      </c>
      <c r="E5" s="166"/>
      <c r="F5" s="166"/>
      <c r="G5" s="166"/>
      <c r="H5" s="166"/>
      <c r="I5" s="58" t="s">
        <v>53</v>
      </c>
    </row>
    <row r="6" spans="1:9" s="4" customFormat="1" ht="15" x14ac:dyDescent="0.25">
      <c r="A6" s="35"/>
      <c r="B6" s="35"/>
      <c r="C6" s="35"/>
      <c r="D6" s="35"/>
      <c r="E6" s="35"/>
      <c r="F6" s="35"/>
      <c r="G6" s="35"/>
      <c r="H6" s="35"/>
      <c r="I6" s="35"/>
    </row>
    <row r="7" spans="1:9" ht="21" customHeight="1" x14ac:dyDescent="0.2">
      <c r="A7" s="167" t="s">
        <v>34</v>
      </c>
      <c r="B7" s="167"/>
      <c r="C7" s="31"/>
      <c r="D7" s="31"/>
      <c r="E7" s="32"/>
      <c r="F7" s="32"/>
      <c r="G7" s="32"/>
      <c r="H7" s="32"/>
      <c r="I7" s="31"/>
    </row>
    <row r="8" spans="1:9" ht="21" customHeight="1" thickBot="1" x14ac:dyDescent="0.25">
      <c r="A8" s="97" t="s">
        <v>35</v>
      </c>
      <c r="B8" s="23"/>
      <c r="C8" s="25"/>
      <c r="D8" s="31"/>
      <c r="E8" s="32"/>
      <c r="F8" s="32"/>
      <c r="G8" s="32"/>
      <c r="H8" s="32"/>
      <c r="I8" s="31"/>
    </row>
    <row r="9" spans="1:9" s="2" customFormat="1" ht="27" customHeight="1" thickBot="1" x14ac:dyDescent="0.25">
      <c r="A9" s="134" t="s">
        <v>36</v>
      </c>
      <c r="B9" s="134" t="s">
        <v>37</v>
      </c>
      <c r="C9" s="135" t="s">
        <v>38</v>
      </c>
      <c r="D9" s="128" t="s">
        <v>39</v>
      </c>
      <c r="E9" s="136" t="s">
        <v>1</v>
      </c>
      <c r="F9" s="128" t="s">
        <v>40</v>
      </c>
      <c r="G9" s="136" t="s">
        <v>41</v>
      </c>
      <c r="H9" s="136" t="s">
        <v>42</v>
      </c>
      <c r="I9" s="135" t="s">
        <v>43</v>
      </c>
    </row>
    <row r="10" spans="1:9" s="2" customFormat="1" ht="13.5" customHeight="1" thickBot="1" x14ac:dyDescent="0.25">
      <c r="A10" s="36">
        <f>HYPERLINK("https://bluetooth.atlassian.net/browse/ES-15767",15767)</f>
        <v>15767</v>
      </c>
      <c r="B10" s="61" t="s">
        <v>94</v>
      </c>
      <c r="C10" s="61" t="s">
        <v>89</v>
      </c>
      <c r="D10" s="61" t="s">
        <v>95</v>
      </c>
      <c r="E10" s="60" t="s">
        <v>59</v>
      </c>
      <c r="F10" s="66">
        <v>4</v>
      </c>
      <c r="G10" s="36">
        <f>HYPERLINK("https://bluetooth.atlassian.net/browse/ES-16764",16764)</f>
        <v>16764</v>
      </c>
      <c r="H10" s="61" t="s">
        <v>60</v>
      </c>
      <c r="I10" s="61" t="s">
        <v>82</v>
      </c>
    </row>
    <row r="11" spans="1:9" s="2" customFormat="1" ht="39" thickBot="1" x14ac:dyDescent="0.25">
      <c r="A11" s="47">
        <f>HYPERLINK("https://bluetooth.atlassian.net/browse/ES-16242",16242)</f>
        <v>16242</v>
      </c>
      <c r="B11" s="59" t="s">
        <v>94</v>
      </c>
      <c r="C11" s="59" t="s">
        <v>45</v>
      </c>
      <c r="D11" s="59" t="s">
        <v>46</v>
      </c>
      <c r="E11" s="60" t="s">
        <v>59</v>
      </c>
      <c r="F11" s="63">
        <v>1</v>
      </c>
      <c r="G11" s="50">
        <f>HYPERLINK("https://bluetooth.atlassian.net/browse/ES-18101",18101)</f>
        <v>18101</v>
      </c>
      <c r="H11" s="64" t="s">
        <v>60</v>
      </c>
      <c r="I11" s="59" t="s">
        <v>63</v>
      </c>
    </row>
    <row r="12" spans="1:9" s="2" customFormat="1" ht="13.5" customHeight="1" thickBot="1" x14ac:dyDescent="0.25">
      <c r="A12" s="36">
        <f>HYPERLINK("https://bluetooth.atlassian.net/browse/ES-17148",17148)</f>
        <v>17148</v>
      </c>
      <c r="B12" s="61" t="s">
        <v>94</v>
      </c>
      <c r="C12" s="61" t="s">
        <v>96</v>
      </c>
      <c r="D12" s="61" t="s">
        <v>65</v>
      </c>
      <c r="E12" s="67" t="s">
        <v>47</v>
      </c>
      <c r="F12" s="66"/>
      <c r="G12" s="36"/>
      <c r="H12" s="49"/>
      <c r="I12" s="49"/>
    </row>
  </sheetData>
  <mergeCells count="5">
    <mergeCell ref="A7:B7"/>
    <mergeCell ref="A2:I2"/>
    <mergeCell ref="A3:I3"/>
    <mergeCell ref="D4:H4"/>
    <mergeCell ref="D5:H5"/>
  </mergeCells>
  <conditionalFormatting sqref="E10:E12">
    <cfRule type="cellIs" dxfId="20" priority="1" operator="notEqual">
      <formula>"No"</formula>
    </cfRule>
  </conditionalFormatting>
  <dataValidations count="1">
    <dataValidation type="list" allowBlank="1" sqref="E9:H12" xr:uid="{00000000-0002-0000-0400-000000000000}">
      <formula1>#REF!</formula1>
    </dataValidation>
  </dataValidations>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I14"/>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9.42578125" customWidth="1"/>
  </cols>
  <sheetData>
    <row r="1" spans="1:9" ht="28.5" customHeight="1" thickBot="1" x14ac:dyDescent="0.35">
      <c r="A1" s="19" t="s">
        <v>97</v>
      </c>
      <c r="B1" s="25"/>
      <c r="C1" s="31"/>
      <c r="D1" s="31"/>
      <c r="E1" s="32"/>
      <c r="F1" s="32"/>
      <c r="G1" s="32"/>
      <c r="H1" s="32"/>
      <c r="I1" s="31"/>
    </row>
    <row r="2" spans="1:9" ht="66.7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56" customFormat="1" ht="13.5" customHeight="1" thickBot="1" x14ac:dyDescent="0.25">
      <c r="A5" s="54" t="s">
        <v>98</v>
      </c>
      <c r="B5" s="54">
        <v>42353</v>
      </c>
      <c r="C5" s="57" t="s">
        <v>73</v>
      </c>
      <c r="D5" s="182" t="s">
        <v>99</v>
      </c>
      <c r="E5" s="183"/>
      <c r="F5" s="183"/>
      <c r="G5" s="183"/>
      <c r="H5" s="183"/>
      <c r="I5" s="55" t="s">
        <v>53</v>
      </c>
    </row>
    <row r="6" spans="1:9" s="56" customFormat="1" ht="13.5" customHeight="1" thickBot="1" x14ac:dyDescent="0.25">
      <c r="A6" s="57" t="s">
        <v>100</v>
      </c>
      <c r="B6" s="57">
        <v>44579</v>
      </c>
      <c r="C6" s="57" t="s">
        <v>32</v>
      </c>
      <c r="D6" s="165" t="s">
        <v>101</v>
      </c>
      <c r="E6" s="166"/>
      <c r="F6" s="166"/>
      <c r="G6" s="166"/>
      <c r="H6" s="166"/>
      <c r="I6" s="58" t="s">
        <v>53</v>
      </c>
    </row>
    <row r="7" spans="1:9" s="4" customFormat="1" ht="15" x14ac:dyDescent="0.25">
      <c r="A7" s="35"/>
      <c r="B7" s="35"/>
      <c r="C7" s="35"/>
      <c r="D7" s="35"/>
      <c r="E7" s="35"/>
      <c r="F7" s="35"/>
      <c r="G7" s="35"/>
      <c r="H7" s="35"/>
      <c r="I7" s="35"/>
    </row>
    <row r="8" spans="1:9" ht="21" customHeight="1" x14ac:dyDescent="0.2">
      <c r="A8" s="167" t="s">
        <v>34</v>
      </c>
      <c r="B8" s="167"/>
      <c r="C8" s="31"/>
      <c r="D8" s="31"/>
      <c r="E8" s="32"/>
      <c r="F8" s="32"/>
      <c r="G8" s="32"/>
      <c r="H8" s="32"/>
      <c r="I8" s="31"/>
    </row>
    <row r="9" spans="1:9" ht="21" customHeight="1" thickBot="1" x14ac:dyDescent="0.25">
      <c r="A9" s="97" t="s">
        <v>35</v>
      </c>
      <c r="B9" s="23"/>
      <c r="C9" s="25"/>
      <c r="D9" s="31"/>
      <c r="E9" s="32"/>
      <c r="F9" s="32"/>
      <c r="G9" s="32"/>
      <c r="H9" s="32"/>
      <c r="I9" s="31"/>
    </row>
    <row r="10" spans="1:9" s="2" customFormat="1" ht="27" customHeight="1" thickBot="1" x14ac:dyDescent="0.25">
      <c r="A10" s="134" t="s">
        <v>36</v>
      </c>
      <c r="B10" s="134" t="s">
        <v>37</v>
      </c>
      <c r="C10" s="135" t="s">
        <v>38</v>
      </c>
      <c r="D10" s="128" t="s">
        <v>39</v>
      </c>
      <c r="E10" s="136" t="s">
        <v>1</v>
      </c>
      <c r="F10" s="128" t="s">
        <v>40</v>
      </c>
      <c r="G10" s="136" t="s">
        <v>41</v>
      </c>
      <c r="H10" s="136" t="s">
        <v>42</v>
      </c>
      <c r="I10" s="135" t="s">
        <v>43</v>
      </c>
    </row>
    <row r="11" spans="1:9" s="2" customFormat="1" ht="28.5" customHeight="1" thickBot="1" x14ac:dyDescent="0.25">
      <c r="A11" s="36">
        <f>HYPERLINK("https://bluetooth.atlassian.net/browse/ES-6173",6173)</f>
        <v>6173</v>
      </c>
      <c r="B11" s="28" t="s">
        <v>102</v>
      </c>
      <c r="C11" s="28" t="s">
        <v>103</v>
      </c>
      <c r="D11" s="28" t="s">
        <v>80</v>
      </c>
      <c r="E11" s="29" t="s">
        <v>47</v>
      </c>
      <c r="F11" s="51"/>
      <c r="G11" s="36"/>
      <c r="H11" s="28"/>
      <c r="I11" s="28"/>
    </row>
    <row r="12" spans="1:9" s="2" customFormat="1" ht="13.5" customHeight="1" thickBot="1" x14ac:dyDescent="0.25">
      <c r="A12" s="47">
        <f>HYPERLINK("https://bluetooth.atlassian.net/browse/ES-15780",15780)</f>
        <v>15780</v>
      </c>
      <c r="B12" s="59" t="s">
        <v>98</v>
      </c>
      <c r="C12" s="59" t="s">
        <v>104</v>
      </c>
      <c r="D12" s="59" t="s">
        <v>65</v>
      </c>
      <c r="E12" s="60" t="s">
        <v>59</v>
      </c>
      <c r="F12" s="63">
        <v>1</v>
      </c>
      <c r="G12" s="50">
        <f>HYPERLINK("https://bluetooth.atlassian.net/browse/ES-18108",18108)</f>
        <v>18108</v>
      </c>
      <c r="H12" s="64" t="s">
        <v>60</v>
      </c>
      <c r="I12" s="59"/>
    </row>
    <row r="13" spans="1:9" s="2" customFormat="1" ht="13.5" customHeight="1" thickBot="1" x14ac:dyDescent="0.25">
      <c r="A13" s="36">
        <f>HYPERLINK("https://bluetooth.atlassian.net/browse/ES-16275",16275)</f>
        <v>16275</v>
      </c>
      <c r="B13" s="61" t="s">
        <v>98</v>
      </c>
      <c r="C13" s="61" t="s">
        <v>81</v>
      </c>
      <c r="D13" s="61" t="s">
        <v>46</v>
      </c>
      <c r="E13" s="60" t="s">
        <v>59</v>
      </c>
      <c r="F13" s="66">
        <v>4</v>
      </c>
      <c r="G13" s="36">
        <f>HYPERLINK("https://bluetooth.atlassian.net/browse/ES-16858",16858)</f>
        <v>16858</v>
      </c>
      <c r="H13" s="61" t="s">
        <v>60</v>
      </c>
      <c r="I13" s="61" t="s">
        <v>82</v>
      </c>
    </row>
    <row r="14" spans="1:9" s="2" customFormat="1" ht="13.5" customHeight="1" thickBot="1" x14ac:dyDescent="0.25">
      <c r="A14" s="47">
        <f>HYPERLINK("https://bluetooth.atlassian.net/browse/ES-17659",17659)</f>
        <v>17659</v>
      </c>
      <c r="B14" s="59" t="s">
        <v>98</v>
      </c>
      <c r="C14" s="59" t="s">
        <v>84</v>
      </c>
      <c r="D14" s="59" t="s">
        <v>65</v>
      </c>
      <c r="E14" s="60" t="s">
        <v>47</v>
      </c>
      <c r="F14" s="41"/>
      <c r="G14" s="42"/>
      <c r="H14" s="42"/>
      <c r="I14" s="59"/>
    </row>
  </sheetData>
  <mergeCells count="6">
    <mergeCell ref="A2:I2"/>
    <mergeCell ref="A3:I3"/>
    <mergeCell ref="D4:H4"/>
    <mergeCell ref="D5:H5"/>
    <mergeCell ref="A8:B8"/>
    <mergeCell ref="D6:H6"/>
  </mergeCells>
  <conditionalFormatting sqref="E11:E14">
    <cfRule type="cellIs" dxfId="19" priority="1" operator="notEqual">
      <formula>"No"</formula>
    </cfRule>
  </conditionalFormatting>
  <dataValidations count="1">
    <dataValidation type="list" allowBlank="1" sqref="E10:H14" xr:uid="{00000000-0002-0000-0500-000000000000}">
      <formula1>#REF!</formula1>
    </dataValidation>
  </dataValidation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I15"/>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50.28515625" customWidth="1"/>
  </cols>
  <sheetData>
    <row r="1" spans="1:9" ht="28.5" customHeight="1" thickBot="1" x14ac:dyDescent="0.35">
      <c r="A1" s="19" t="s">
        <v>105</v>
      </c>
      <c r="B1" s="25"/>
      <c r="C1" s="31"/>
      <c r="D1" s="31"/>
      <c r="E1" s="32"/>
      <c r="F1" s="32"/>
      <c r="G1" s="32"/>
      <c r="H1" s="32"/>
      <c r="I1" s="31"/>
    </row>
    <row r="2" spans="1:9" ht="66.7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4" customFormat="1" ht="13.5" customHeight="1" thickBot="1" x14ac:dyDescent="0.3">
      <c r="A5" s="24" t="s">
        <v>106</v>
      </c>
      <c r="B5" s="24">
        <v>42353</v>
      </c>
      <c r="C5" s="78" t="s">
        <v>73</v>
      </c>
      <c r="D5" s="178" t="s">
        <v>107</v>
      </c>
      <c r="E5" s="179"/>
      <c r="F5" s="179"/>
      <c r="G5" s="179"/>
      <c r="H5" s="179"/>
      <c r="I5" s="30" t="s">
        <v>53</v>
      </c>
    </row>
    <row r="6" spans="1:9" s="4" customFormat="1" ht="13.5" customHeight="1" thickBot="1" x14ac:dyDescent="0.3">
      <c r="A6" s="78" t="s">
        <v>108</v>
      </c>
      <c r="B6" s="78">
        <v>44579</v>
      </c>
      <c r="C6" s="78" t="s">
        <v>32</v>
      </c>
      <c r="D6" s="184" t="s">
        <v>109</v>
      </c>
      <c r="E6" s="185"/>
      <c r="F6" s="185"/>
      <c r="G6" s="185"/>
      <c r="H6" s="185"/>
      <c r="I6" s="139" t="s">
        <v>53</v>
      </c>
    </row>
    <row r="7" spans="1:9" s="4" customFormat="1" ht="15" x14ac:dyDescent="0.25">
      <c r="A7" s="35"/>
      <c r="B7" s="35"/>
      <c r="C7" s="35"/>
      <c r="D7" s="35"/>
      <c r="E7" s="35"/>
      <c r="F7" s="35"/>
      <c r="G7" s="35"/>
      <c r="H7" s="35"/>
      <c r="I7" s="35"/>
    </row>
    <row r="8" spans="1:9" ht="21" customHeight="1" x14ac:dyDescent="0.2">
      <c r="A8" s="167" t="s">
        <v>34</v>
      </c>
      <c r="B8" s="167"/>
      <c r="C8" s="31"/>
      <c r="D8" s="31"/>
      <c r="E8" s="32"/>
      <c r="F8" s="32"/>
      <c r="G8" s="32"/>
      <c r="H8" s="32"/>
      <c r="I8" s="31"/>
    </row>
    <row r="9" spans="1:9" ht="21" customHeight="1" x14ac:dyDescent="0.2">
      <c r="A9" s="97" t="s">
        <v>35</v>
      </c>
      <c r="B9" s="23"/>
      <c r="C9" s="25"/>
      <c r="D9" s="31"/>
      <c r="E9" s="32"/>
      <c r="F9" s="32"/>
      <c r="G9" s="32"/>
      <c r="H9" s="32"/>
      <c r="I9" s="31"/>
    </row>
    <row r="10" spans="1:9" s="2" customFormat="1" ht="24.75" customHeight="1" x14ac:dyDescent="0.2">
      <c r="A10" s="134" t="s">
        <v>36</v>
      </c>
      <c r="B10" s="134" t="s">
        <v>37</v>
      </c>
      <c r="C10" s="135" t="s">
        <v>38</v>
      </c>
      <c r="D10" s="128" t="s">
        <v>39</v>
      </c>
      <c r="E10" s="136" t="s">
        <v>1</v>
      </c>
      <c r="F10" s="128" t="s">
        <v>40</v>
      </c>
      <c r="G10" s="136" t="s">
        <v>41</v>
      </c>
      <c r="H10" s="136" t="s">
        <v>42</v>
      </c>
      <c r="I10" s="135" t="s">
        <v>43</v>
      </c>
    </row>
    <row r="11" spans="1:9" s="2" customFormat="1" ht="27" customHeight="1" x14ac:dyDescent="0.2">
      <c r="A11" s="105">
        <f>HYPERLINK("https://bluetooth.atlassian.net/browse/ES-6155",6155)</f>
        <v>6155</v>
      </c>
      <c r="B11" s="140" t="s">
        <v>110</v>
      </c>
      <c r="C11" s="140" t="s">
        <v>111</v>
      </c>
      <c r="D11" s="140" t="s">
        <v>80</v>
      </c>
      <c r="E11" s="141" t="s">
        <v>47</v>
      </c>
      <c r="F11" s="140"/>
      <c r="G11" s="142"/>
      <c r="H11" s="140"/>
      <c r="I11" s="140"/>
    </row>
    <row r="12" spans="1:9" s="2" customFormat="1" ht="27" customHeight="1" x14ac:dyDescent="0.2">
      <c r="A12" s="143">
        <f>HYPERLINK("https://bluetooth.atlassian.net/browse/ES-6423",6423)</f>
        <v>6423</v>
      </c>
      <c r="B12" s="123" t="s">
        <v>110</v>
      </c>
      <c r="C12" s="123" t="s">
        <v>112</v>
      </c>
      <c r="D12" s="123" t="s">
        <v>80</v>
      </c>
      <c r="E12" s="144" t="s">
        <v>47</v>
      </c>
      <c r="F12" s="121"/>
      <c r="G12" s="122"/>
      <c r="H12" s="122"/>
      <c r="I12" s="123"/>
    </row>
    <row r="13" spans="1:9" s="2" customFormat="1" ht="13.5" customHeight="1" x14ac:dyDescent="0.2">
      <c r="A13" s="105">
        <f>HYPERLINK("https://bluetooth.atlassian.net/browse/ES-16239",16239)</f>
        <v>16239</v>
      </c>
      <c r="B13" s="145" t="s">
        <v>106</v>
      </c>
      <c r="C13" s="145" t="s">
        <v>89</v>
      </c>
      <c r="D13" s="145" t="s">
        <v>95</v>
      </c>
      <c r="E13" s="146" t="s">
        <v>59</v>
      </c>
      <c r="F13" s="147">
        <v>4</v>
      </c>
      <c r="G13" s="105">
        <f>HYPERLINK("https://bluetooth.atlassian.net/browse/ES-16857",16857)</f>
        <v>16857</v>
      </c>
      <c r="H13" s="148" t="s">
        <v>60</v>
      </c>
      <c r="I13" s="148" t="s">
        <v>82</v>
      </c>
    </row>
    <row r="14" spans="1:9" s="2" customFormat="1" ht="38.25" x14ac:dyDescent="0.2">
      <c r="A14" s="143">
        <f>HYPERLINK("https://bluetooth.atlassian.net/browse/ES-16243",16243)</f>
        <v>16243</v>
      </c>
      <c r="B14" s="149" t="s">
        <v>106</v>
      </c>
      <c r="C14" s="149" t="s">
        <v>45</v>
      </c>
      <c r="D14" s="149" t="s">
        <v>46</v>
      </c>
      <c r="E14" s="146" t="s">
        <v>59</v>
      </c>
      <c r="F14" s="121"/>
      <c r="G14" s="122"/>
      <c r="H14" s="122"/>
      <c r="I14" s="149" t="s">
        <v>63</v>
      </c>
    </row>
    <row r="15" spans="1:9" s="2" customFormat="1" ht="13.5" customHeight="1" x14ac:dyDescent="0.2">
      <c r="A15" s="105">
        <f>HYPERLINK("https://bluetooth.atlassian.net/browse/ES-17414",17414)</f>
        <v>17414</v>
      </c>
      <c r="B15" s="148" t="s">
        <v>106</v>
      </c>
      <c r="C15" s="148" t="s">
        <v>113</v>
      </c>
      <c r="D15" s="148" t="s">
        <v>46</v>
      </c>
      <c r="E15" s="146" t="s">
        <v>59</v>
      </c>
      <c r="F15" s="147">
        <v>4</v>
      </c>
      <c r="G15" s="105">
        <f>HYPERLINK("https://bluetooth.atlassian.net/browse/ES-18087",18087)</f>
        <v>18087</v>
      </c>
      <c r="H15" s="148" t="s">
        <v>60</v>
      </c>
      <c r="I15" s="148" t="s">
        <v>114</v>
      </c>
    </row>
  </sheetData>
  <mergeCells count="6">
    <mergeCell ref="A2:I2"/>
    <mergeCell ref="A3:I3"/>
    <mergeCell ref="D4:H4"/>
    <mergeCell ref="D5:H5"/>
    <mergeCell ref="A8:B8"/>
    <mergeCell ref="D6:H6"/>
  </mergeCells>
  <conditionalFormatting sqref="E11:E15">
    <cfRule type="cellIs" dxfId="18" priority="1" operator="notEqual">
      <formula>"No"</formula>
    </cfRule>
  </conditionalFormatting>
  <dataValidations count="1">
    <dataValidation type="list" allowBlank="1" sqref="E10:H15" xr:uid="{00000000-0002-0000-0600-000000000000}">
      <formula1>#REF!</formula1>
    </dataValidation>
  </dataValidation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B1A0C7"/>
    <outlinePr summaryBelow="0" summaryRight="0"/>
  </sheetPr>
  <dimension ref="A1:I15"/>
  <sheetViews>
    <sheetView zoomScaleNormal="100" workbookViewId="0"/>
  </sheetViews>
  <sheetFormatPr defaultColWidth="14.42578125" defaultRowHeight="15.75" customHeight="1" x14ac:dyDescent="0.2"/>
  <cols>
    <col min="1" max="1" width="14.5703125" style="1" customWidth="1"/>
    <col min="2" max="2" width="27.85546875" style="1" customWidth="1"/>
    <col min="3" max="3" width="38.42578125" customWidth="1"/>
    <col min="4" max="4" width="17.28515625" customWidth="1"/>
    <col min="5" max="5" width="14.42578125" style="3" customWidth="1"/>
    <col min="6" max="6" width="11.28515625" style="3" customWidth="1"/>
    <col min="7" max="7" width="9.7109375" style="3" customWidth="1"/>
    <col min="8" max="8" width="14.42578125" style="3" customWidth="1"/>
    <col min="9" max="9" width="46.42578125" customWidth="1"/>
  </cols>
  <sheetData>
    <row r="1" spans="1:9" ht="28.5" customHeight="1" thickBot="1" x14ac:dyDescent="0.35">
      <c r="A1" s="19" t="s">
        <v>115</v>
      </c>
      <c r="B1" s="25"/>
      <c r="C1" s="31"/>
      <c r="D1" s="31"/>
      <c r="E1" s="32"/>
      <c r="F1" s="32"/>
      <c r="G1" s="32"/>
      <c r="H1" s="32"/>
      <c r="I1" s="31"/>
    </row>
    <row r="2" spans="1:9" ht="69.95" customHeight="1" thickBot="1" x14ac:dyDescent="0.25">
      <c r="A2" s="160" t="s">
        <v>24</v>
      </c>
      <c r="B2" s="161"/>
      <c r="C2" s="161"/>
      <c r="D2" s="161"/>
      <c r="E2" s="161"/>
      <c r="F2" s="161"/>
      <c r="G2" s="161"/>
      <c r="H2" s="161"/>
      <c r="I2" s="162"/>
    </row>
    <row r="3" spans="1:9" ht="51.95" customHeight="1" thickBot="1" x14ac:dyDescent="0.25">
      <c r="A3" s="160" t="s">
        <v>25</v>
      </c>
      <c r="B3" s="161"/>
      <c r="C3" s="161"/>
      <c r="D3" s="161"/>
      <c r="E3" s="161"/>
      <c r="F3" s="161"/>
      <c r="G3" s="161"/>
      <c r="H3" s="161"/>
      <c r="I3" s="161"/>
    </row>
    <row r="4" spans="1:9" s="4" customFormat="1" ht="27" thickBot="1" x14ac:dyDescent="0.3">
      <c r="A4" s="37" t="s">
        <v>26</v>
      </c>
      <c r="B4" s="38" t="s">
        <v>27</v>
      </c>
      <c r="C4" s="37" t="s">
        <v>28</v>
      </c>
      <c r="D4" s="163" t="s">
        <v>29</v>
      </c>
      <c r="E4" s="164"/>
      <c r="F4" s="164"/>
      <c r="G4" s="164"/>
      <c r="H4" s="164"/>
      <c r="I4" s="39" t="s">
        <v>30</v>
      </c>
    </row>
    <row r="5" spans="1:9" s="4" customFormat="1" ht="65.45" customHeight="1" thickBot="1" x14ac:dyDescent="0.3">
      <c r="A5" s="24" t="s">
        <v>116</v>
      </c>
      <c r="B5" s="24">
        <v>42493</v>
      </c>
      <c r="C5" s="24" t="s">
        <v>32</v>
      </c>
      <c r="D5" s="178" t="s">
        <v>74</v>
      </c>
      <c r="E5" s="179"/>
      <c r="F5" s="179"/>
      <c r="G5" s="179"/>
      <c r="H5" s="179"/>
      <c r="I5" s="30" t="s">
        <v>117</v>
      </c>
    </row>
    <row r="6" spans="1:9" s="4" customFormat="1" ht="19.5" customHeight="1" thickBot="1" x14ac:dyDescent="0.3">
      <c r="A6" s="104" t="s">
        <v>118</v>
      </c>
      <c r="B6" s="104">
        <v>45454</v>
      </c>
      <c r="C6" s="104" t="s">
        <v>32</v>
      </c>
      <c r="D6" s="173" t="s">
        <v>119</v>
      </c>
      <c r="E6" s="174"/>
      <c r="F6" s="174"/>
      <c r="G6" s="174"/>
      <c r="H6" s="174"/>
      <c r="I6" s="96" t="s">
        <v>53</v>
      </c>
    </row>
    <row r="7" spans="1:9" s="4" customFormat="1" ht="15" x14ac:dyDescent="0.25">
      <c r="A7" s="35"/>
      <c r="B7" s="35"/>
      <c r="C7" s="35"/>
      <c r="D7" s="35"/>
      <c r="E7" s="35"/>
      <c r="F7" s="35"/>
      <c r="G7" s="35"/>
      <c r="H7" s="35"/>
      <c r="I7" s="35"/>
    </row>
    <row r="8" spans="1:9" ht="21" customHeight="1" x14ac:dyDescent="0.2">
      <c r="A8" s="167" t="s">
        <v>34</v>
      </c>
      <c r="B8" s="167"/>
      <c r="C8" s="31"/>
      <c r="D8" s="31"/>
      <c r="E8" s="32"/>
      <c r="F8" s="32"/>
      <c r="G8" s="32"/>
      <c r="H8" s="32"/>
      <c r="I8" s="31"/>
    </row>
    <row r="9" spans="1:9" ht="21" customHeight="1" x14ac:dyDescent="0.2">
      <c r="A9" s="97" t="s">
        <v>35</v>
      </c>
      <c r="B9" s="23"/>
      <c r="C9" s="25"/>
      <c r="D9" s="31"/>
      <c r="E9" s="32"/>
      <c r="F9" s="32"/>
      <c r="G9" s="32"/>
      <c r="H9" s="32"/>
      <c r="I9" s="31"/>
    </row>
    <row r="10" spans="1:9" s="2" customFormat="1" ht="24.75" customHeight="1" x14ac:dyDescent="0.2">
      <c r="A10" s="134" t="s">
        <v>36</v>
      </c>
      <c r="B10" s="134" t="s">
        <v>37</v>
      </c>
      <c r="C10" s="135" t="s">
        <v>38</v>
      </c>
      <c r="D10" s="128" t="s">
        <v>39</v>
      </c>
      <c r="E10" s="136" t="s">
        <v>1</v>
      </c>
      <c r="F10" s="128" t="s">
        <v>40</v>
      </c>
      <c r="G10" s="136" t="s">
        <v>41</v>
      </c>
      <c r="H10" s="136" t="s">
        <v>42</v>
      </c>
      <c r="I10" s="135" t="s">
        <v>43</v>
      </c>
    </row>
    <row r="11" spans="1:9" s="2" customFormat="1" ht="13.5" customHeight="1" x14ac:dyDescent="0.2">
      <c r="A11" s="105">
        <f>HYPERLINK("https://bluetooth.atlassian.net/browse/ES-15782",15782)</f>
        <v>15782</v>
      </c>
      <c r="B11" s="106" t="s">
        <v>116</v>
      </c>
      <c r="C11" s="106" t="s">
        <v>104</v>
      </c>
      <c r="D11" s="106" t="s">
        <v>65</v>
      </c>
      <c r="E11" s="133" t="s">
        <v>59</v>
      </c>
      <c r="F11" s="124">
        <v>1</v>
      </c>
      <c r="G11" s="105">
        <f>HYPERLINK("https://bluetooth.atlassian.net/browse/ES-18588",18588)</f>
        <v>18588</v>
      </c>
      <c r="H11" s="106" t="s">
        <v>60</v>
      </c>
      <c r="I11" s="106" t="s">
        <v>120</v>
      </c>
    </row>
    <row r="12" spans="1:9" s="2" customFormat="1" ht="25.5" x14ac:dyDescent="0.2">
      <c r="A12" s="112">
        <f>HYPERLINK("https://bluetooth.atlassian.net/browse/ES-16588",16588)</f>
        <v>16588</v>
      </c>
      <c r="B12" s="113" t="s">
        <v>116</v>
      </c>
      <c r="C12" s="113" t="s">
        <v>89</v>
      </c>
      <c r="D12" s="114" t="s">
        <v>58</v>
      </c>
      <c r="E12" s="115" t="s">
        <v>59</v>
      </c>
      <c r="F12" s="130">
        <v>4</v>
      </c>
      <c r="G12" s="131">
        <f>HYPERLINK("https://bluetooth.atlassian.net/browse/ES-17222",17222)</f>
        <v>17222</v>
      </c>
      <c r="H12" s="132" t="s">
        <v>60</v>
      </c>
      <c r="I12" s="113" t="s">
        <v>61</v>
      </c>
    </row>
    <row r="13" spans="1:9" s="2" customFormat="1" ht="13.5" customHeight="1" x14ac:dyDescent="0.2">
      <c r="A13" s="105">
        <f>HYPERLINK("https://bluetooth.atlassian.net/browse/ES-18744",18744)</f>
        <v>18744</v>
      </c>
      <c r="B13" s="106" t="s">
        <v>116</v>
      </c>
      <c r="C13" s="106" t="s">
        <v>64</v>
      </c>
      <c r="D13" s="106" t="s">
        <v>65</v>
      </c>
      <c r="E13" s="107" t="s">
        <v>47</v>
      </c>
      <c r="F13" s="124"/>
      <c r="G13" s="105"/>
      <c r="H13" s="106"/>
      <c r="I13" s="106"/>
    </row>
    <row r="14" spans="1:9" s="2" customFormat="1" ht="13.5" customHeight="1" x14ac:dyDescent="0.2">
      <c r="A14" s="112">
        <f>HYPERLINK("https://bluetooth.atlassian.net/browse/ES-22313",22313)</f>
        <v>22313</v>
      </c>
      <c r="B14" s="113" t="s">
        <v>116</v>
      </c>
      <c r="C14" s="113" t="s">
        <v>121</v>
      </c>
      <c r="D14" s="113" t="s">
        <v>65</v>
      </c>
      <c r="E14" s="115" t="s">
        <v>47</v>
      </c>
      <c r="F14" s="121"/>
      <c r="G14" s="122"/>
      <c r="H14" s="122"/>
      <c r="I14" s="123"/>
    </row>
    <row r="15" spans="1:9" s="2" customFormat="1" ht="12.75" x14ac:dyDescent="0.2">
      <c r="A15" s="105">
        <f>HYPERLINK("https://bluetooth.atlassian.net/browse/ES-23359",23359)</f>
        <v>23359</v>
      </c>
      <c r="B15" s="106" t="s">
        <v>116</v>
      </c>
      <c r="C15" s="106" t="s">
        <v>122</v>
      </c>
      <c r="D15" s="106" t="s">
        <v>65</v>
      </c>
      <c r="E15" s="107" t="s">
        <v>47</v>
      </c>
      <c r="F15" s="124"/>
      <c r="G15" s="105"/>
      <c r="H15" s="106"/>
      <c r="I15" s="106"/>
    </row>
  </sheetData>
  <mergeCells count="6">
    <mergeCell ref="A2:I2"/>
    <mergeCell ref="A3:I3"/>
    <mergeCell ref="D4:H4"/>
    <mergeCell ref="D5:H5"/>
    <mergeCell ref="A8:B8"/>
    <mergeCell ref="D6:H6"/>
  </mergeCells>
  <conditionalFormatting sqref="E11:E15">
    <cfRule type="cellIs" dxfId="17" priority="1" operator="notEqual">
      <formula>"No"</formula>
    </cfRule>
  </conditionalFormatting>
  <dataValidations count="1">
    <dataValidation type="list" allowBlank="1" sqref="H11 E11:E15 F11 F12:H15 E10:H10" xr:uid="{2C6AA4F6-67EE-470B-B4BE-75D9CBD1886C}">
      <formula1>#REF!</formula1>
    </dataValidation>
  </dataValidations>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c57150-95d3-44f5-b623-81a9dee31073" xsi:nil="true"/>
    <lcf76f155ced4ddcb4097134ff3c332f xmlns="841ce161-2f11-4fff-9b19-93e9b368de6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73C2DDB3CD31449998C8DF81E1EB713" ma:contentTypeVersion="15" ma:contentTypeDescription="Create a new document." ma:contentTypeScope="" ma:versionID="b88da498f5e4f6338777e0ccf3dc92f6">
  <xsd:schema xmlns:xsd="http://www.w3.org/2001/XMLSchema" xmlns:xs="http://www.w3.org/2001/XMLSchema" xmlns:p="http://schemas.microsoft.com/office/2006/metadata/properties" xmlns:ns2="841ce161-2f11-4fff-9b19-93e9b368de60" xmlns:ns3="44c57150-95d3-44f5-b623-81a9dee31073" targetNamespace="http://schemas.microsoft.com/office/2006/metadata/properties" ma:root="true" ma:fieldsID="21ee63dbc8df2539dedb2a78f7b08a43" ns2:_="" ns3:_="">
    <xsd:import namespace="841ce161-2f11-4fff-9b19-93e9b368de60"/>
    <xsd:import namespace="44c57150-95d3-44f5-b623-81a9dee3107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1ce161-2f11-4fff-9b19-93e9b368de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702237d5-7af0-4a45-8a54-8adec39992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c57150-95d3-44f5-b623-81a9dee3107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e62b7f15-1d09-46b3-acdc-1bfe72f7aa22}" ma:internalName="TaxCatchAll" ma:showField="CatchAllData" ma:web="44c57150-95d3-44f5-b623-81a9dee31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1087D4-9F94-4615-8E49-C53FBFC565B5}">
  <ds:schemaRefs>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www.w3.org/XML/1998/namespace"/>
    <ds:schemaRef ds:uri="a161b04a-4c2b-45f8-a4d4-1b1bf2a5affc"/>
    <ds:schemaRef ds:uri="http://schemas.microsoft.com/office/infopath/2007/PartnerControls"/>
    <ds:schemaRef ds:uri="http://purl.org/dc/dcmitype/"/>
    <ds:schemaRef ds:uri="http://purl.org/dc/terms/"/>
  </ds:schemaRefs>
</ds:datastoreItem>
</file>

<file path=customXml/itemProps2.xml><?xml version="1.0" encoding="utf-8"?>
<ds:datastoreItem xmlns:ds="http://schemas.openxmlformats.org/officeDocument/2006/customXml" ds:itemID="{20E1AC7A-FF3F-4FE7-822A-C792E153FB07}"/>
</file>

<file path=customXml/itemProps3.xml><?xml version="1.0" encoding="utf-8"?>
<ds:datastoreItem xmlns:ds="http://schemas.openxmlformats.org/officeDocument/2006/customXml" ds:itemID="{7211A415-2290-4C38-8257-43C4C4F7BD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Revisions</vt:lpstr>
      <vt:lpstr>BAS Spec Errata</vt:lpstr>
      <vt:lpstr>BCS Spec Errata</vt:lpstr>
      <vt:lpstr>BLP Spec Errata</vt:lpstr>
      <vt:lpstr>BLS Spec Errata</vt:lpstr>
      <vt:lpstr>BMS Spec Errata</vt:lpstr>
      <vt:lpstr>CGMP Spec Errata</vt:lpstr>
      <vt:lpstr>CGMS Spec Errata</vt:lpstr>
      <vt:lpstr>CPP Spec Errata</vt:lpstr>
      <vt:lpstr>CPS Spec Errata</vt:lpstr>
      <vt:lpstr>CSCP Spec Errata</vt:lpstr>
      <vt:lpstr>CSCS Spec Errata</vt:lpstr>
      <vt:lpstr>CTS Spec Errata</vt:lpstr>
      <vt:lpstr>DIS Spec Errata</vt:lpstr>
      <vt:lpstr>GLP Spec Errata</vt:lpstr>
      <vt:lpstr>GLS Spec Errata</vt:lpstr>
      <vt:lpstr>IDP Spec Errata</vt:lpstr>
      <vt:lpstr>IDS Spec Errata</vt:lpstr>
      <vt:lpstr>LLS Spec Errata</vt:lpstr>
      <vt:lpstr>PLXP Spec Errata</vt:lpstr>
      <vt:lpstr>PLXS Spec Errata</vt:lpstr>
      <vt:lpstr>PXP Spec Errata</vt:lpstr>
      <vt:lpstr>RCP Spec Errata</vt:lpstr>
      <vt:lpstr>RCS Spec Errata</vt:lpstr>
      <vt:lpstr>TDS Spec Errata</vt:lpstr>
      <vt:lpstr>UDS Spec Errata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Integrated Errata - GATTBased TCRL Specification Test Impact</dc:title>
  <dc:subject/>
  <dc:creator>BTI</dc:creator>
  <cp:keywords/>
  <dc:description/>
  <cp:lastModifiedBy>Stephanie Geels</cp:lastModifiedBy>
  <cp:revision/>
  <dcterms:created xsi:type="dcterms:W3CDTF">2019-11-25T16:19:22Z</dcterms:created>
  <dcterms:modified xsi:type="dcterms:W3CDTF">2024-06-27T17:00:37Z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0x010100173C2DDB3CD31449998C8DF81E1EB713</vt:lpwstr>
  </property>
  <property fmtid="{D5CDD505-2E9C-101B-9397-08002B2CF9AE}" pid="3" name="IsCharter">
    <vt:bool>true</vt:bool>
  </property>
  <property fmtid="{D5CDD505-2E9C-101B-9397-08002B2CF9AE}" pid="4" name="ffae6c47e63c48e7ac7ef403e3387e67">
    <vt:lpwstr/>
  </property>
  <property fmtid="{D5CDD505-2E9C-101B-9397-08002B2CF9AE}" pid="5" name="SpecificationVersion">
    <vt:lpwstr/>
  </property>
  <property fmtid="{D5CDD505-2E9C-101B-9397-08002B2CF9AE}" pid="6" name="IsTestSpecification">
    <vt:bool>false</vt:bool>
  </property>
  <property fmtid="{D5CDD505-2E9C-101B-9397-08002B2CF9AE}" pid="7" name="dce0bea3db71457195d934bb264453e3">
    <vt:lpwstr/>
  </property>
  <property fmtid="{D5CDD505-2E9C-101B-9397-08002B2CF9AE}" pid="8" name="Is Published">
    <vt:bool>false</vt:bool>
  </property>
  <property fmtid="{D5CDD505-2E9C-101B-9397-08002B2CF9AE}" pid="9" name="IsReviewedDocument">
    <vt:bool>false</vt:bool>
  </property>
  <property fmtid="{D5CDD505-2E9C-101B-9397-08002B2CF9AE}" pid="10" name="j549a530e4d34c0280002dbace63d5ef">
    <vt:lpwstr/>
  </property>
  <property fmtid="{D5CDD505-2E9C-101B-9397-08002B2CF9AE}" pid="11" name="SpecificationName">
    <vt:lpwstr/>
  </property>
  <property fmtid="{D5CDD505-2E9C-101B-9397-08002B2CF9AE}" pid="12" name="SIGGroup">
    <vt:lpwstr/>
  </property>
  <property fmtid="{D5CDD505-2E9C-101B-9397-08002B2CF9AE}" pid="13" name="_dlc_DocIdItemGuid">
    <vt:lpwstr>b8e25e22-3698-4c35-94fe-7bb23e801fb3</vt:lpwstr>
  </property>
  <property fmtid="{D5CDD505-2E9C-101B-9397-08002B2CF9AE}" pid="14" name="TaxCatchAll">
    <vt:lpwstr/>
  </property>
  <property fmtid="{D5CDD505-2E9C-101B-9397-08002B2CF9AE}" pid="15" name="MediaServiceImageTags">
    <vt:lpwstr/>
  </property>
</Properties>
</file>